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60" windowWidth="21840" windowHeight="11640"/>
  </bookViews>
  <sheets>
    <sheet name="WAM" sheetId="6" r:id="rId1"/>
  </sheets>
  <calcPr calcId="145621"/>
</workbook>
</file>

<file path=xl/calcChain.xml><?xml version="1.0" encoding="utf-8"?>
<calcChain xmlns="http://schemas.openxmlformats.org/spreadsheetml/2006/main">
  <c r="Q123" i="6" l="1"/>
  <c r="D121" i="6"/>
  <c r="G39" i="6" l="1"/>
  <c r="Q87" i="6" l="1"/>
  <c r="L87" i="6"/>
  <c r="G87" i="6"/>
  <c r="G160" i="6"/>
  <c r="H160" i="6"/>
  <c r="I160" i="6"/>
  <c r="J160" i="6"/>
  <c r="K160" i="6"/>
  <c r="L160" i="6"/>
  <c r="M160" i="6"/>
  <c r="N160" i="6"/>
  <c r="O160" i="6"/>
  <c r="P160" i="6"/>
  <c r="Q160" i="6"/>
  <c r="E122" i="6" l="1"/>
  <c r="F122" i="6"/>
  <c r="G122" i="6"/>
  <c r="L122" i="6"/>
  <c r="Q122" i="6"/>
  <c r="D122" i="6"/>
  <c r="L70" i="6" l="1"/>
  <c r="G70" i="6"/>
  <c r="Q70" i="6"/>
  <c r="Q42" i="6"/>
  <c r="F160" i="6" l="1"/>
  <c r="E160" i="6"/>
  <c r="D160" i="6"/>
  <c r="L123" i="6"/>
  <c r="G123" i="6"/>
  <c r="F123" i="6"/>
  <c r="E123" i="6"/>
  <c r="D123" i="6"/>
  <c r="Q121" i="6"/>
  <c r="L121" i="6"/>
  <c r="G121" i="6"/>
  <c r="F121" i="6"/>
  <c r="E121" i="6"/>
  <c r="F106" i="6"/>
  <c r="E106" i="6"/>
  <c r="D106" i="6"/>
  <c r="F99" i="6"/>
  <c r="F119" i="6" s="1"/>
  <c r="E99" i="6"/>
  <c r="E119" i="6" s="1"/>
  <c r="D99" i="6"/>
  <c r="D119" i="6" s="1"/>
  <c r="Q93" i="6"/>
  <c r="L93" i="6"/>
  <c r="G93" i="6"/>
  <c r="F93" i="6"/>
  <c r="E93" i="6"/>
  <c r="D93" i="6"/>
  <c r="G86" i="6"/>
  <c r="F86" i="6"/>
  <c r="G85" i="6"/>
  <c r="L85" i="6" s="1"/>
  <c r="F85" i="6"/>
  <c r="Q84" i="6"/>
  <c r="L84" i="6"/>
  <c r="G84" i="6"/>
  <c r="F84" i="6"/>
  <c r="F83" i="6"/>
  <c r="G82" i="6"/>
  <c r="L82" i="6" s="1"/>
  <c r="F69" i="6"/>
  <c r="F64" i="6" s="1"/>
  <c r="E69" i="6"/>
  <c r="E64" i="6" s="1"/>
  <c r="D69" i="6"/>
  <c r="Q64" i="6"/>
  <c r="L64" i="6"/>
  <c r="G64" i="6"/>
  <c r="D64" i="6"/>
  <c r="Q55" i="6"/>
  <c r="Q99" i="6" s="1"/>
  <c r="Q119" i="6" s="1"/>
  <c r="L55" i="6"/>
  <c r="L99" i="6" s="1"/>
  <c r="L119" i="6" s="1"/>
  <c r="G55" i="6"/>
  <c r="G99" i="6" s="1"/>
  <c r="G119" i="6" s="1"/>
  <c r="F49" i="6"/>
  <c r="E49" i="6"/>
  <c r="D49" i="6"/>
  <c r="Q47" i="6"/>
  <c r="L47" i="6"/>
  <c r="G47" i="6"/>
  <c r="Q46" i="6"/>
  <c r="L46" i="6"/>
  <c r="G46" i="6"/>
  <c r="F44" i="6"/>
  <c r="E44" i="6"/>
  <c r="D44" i="6"/>
  <c r="Q43" i="6"/>
  <c r="L43" i="6"/>
  <c r="G43" i="6"/>
  <c r="L42" i="6"/>
  <c r="G42" i="6"/>
  <c r="Q45" i="6"/>
  <c r="L39" i="6"/>
  <c r="L45" i="6" s="1"/>
  <c r="G45" i="6"/>
  <c r="M13" i="6"/>
  <c r="N13" i="6" s="1"/>
  <c r="O13" i="6" s="1"/>
  <c r="P13" i="6" s="1"/>
  <c r="H13" i="6"/>
  <c r="I13" i="6" s="1"/>
  <c r="J13" i="6" s="1"/>
  <c r="K13" i="6" s="1"/>
  <c r="M12" i="6"/>
  <c r="N12" i="6" s="1"/>
  <c r="O12" i="6" s="1"/>
  <c r="P12" i="6" s="1"/>
  <c r="H12" i="6"/>
  <c r="I12" i="6" s="1"/>
  <c r="J12" i="6" s="1"/>
  <c r="K12" i="6" s="1"/>
  <c r="F12" i="6"/>
  <c r="M4" i="6"/>
  <c r="N4" i="6" s="1"/>
  <c r="O4" i="6" s="1"/>
  <c r="P4" i="6" s="1"/>
  <c r="H4" i="6"/>
  <c r="I4" i="6" s="1"/>
  <c r="J4" i="6" s="1"/>
  <c r="K4" i="6" s="1"/>
  <c r="G78" i="6" l="1"/>
  <c r="G38" i="6"/>
  <c r="F78" i="6"/>
  <c r="Q38" i="6"/>
  <c r="Q49" i="6" s="1"/>
  <c r="G44" i="6"/>
  <c r="Q44" i="6"/>
  <c r="L44" i="6"/>
  <c r="G49" i="6"/>
  <c r="Q82" i="6"/>
  <c r="Q78" i="6" s="1"/>
  <c r="L78" i="6"/>
  <c r="L38" i="6"/>
  <c r="L49" i="6" s="1"/>
</calcChain>
</file>

<file path=xl/sharedStrings.xml><?xml version="1.0" encoding="utf-8"?>
<sst xmlns="http://schemas.openxmlformats.org/spreadsheetml/2006/main" count="414" uniqueCount="215">
  <si>
    <t>a</t>
  </si>
  <si>
    <t>b</t>
  </si>
  <si>
    <t>c</t>
  </si>
  <si>
    <t>d</t>
  </si>
  <si>
    <t>e</t>
  </si>
  <si>
    <t>f</t>
  </si>
  <si>
    <t>g</t>
  </si>
  <si>
    <t>h</t>
  </si>
  <si>
    <t>i</t>
  </si>
  <si>
    <t xml:space="preserve">GDP </t>
  </si>
  <si>
    <t>ktoe</t>
  </si>
  <si>
    <t>%</t>
  </si>
  <si>
    <t>tCO2eq</t>
  </si>
  <si>
    <t>tCO2eq/MWh</t>
  </si>
  <si>
    <t>tCO2eq/toe</t>
  </si>
  <si>
    <t>EUR</t>
  </si>
  <si>
    <t>t</t>
  </si>
  <si>
    <t xml:space="preserve">A közúti közlekedés energiafogyasztásának előrejelzése az energiafogyasztás és az 1 főre eső GDP közötti regressziós kapcsolaton alapult, figyelembe véve az energiahatékonysági célú intézkedések (pl. elektromobilitás támogatása) hatását. A szállítóteljesítmény nem került külön számszerűsítésre. </t>
  </si>
  <si>
    <t xml:space="preserve">A vasúti villamosenergia-felhasználás megújulóenergia-hasznosítási értékének meghatározása során 2020-ig 2,5-ös szorzótényező került alkalmazásra, majd 2021-től a szorzótényező értéke az új uniós szabályozás értelmében 2-re csökken. </t>
  </si>
  <si>
    <t>-</t>
  </si>
  <si>
    <t>A háztartások esetében a lakossági energiafogyasztás és a GDP hányadosaként került meghatározásra az energiaintenzitás.</t>
  </si>
  <si>
    <t>A magyar energiastatisztika 2015-ben és 2016-ban jelentős statisztikai különbséget tartalmazott. Az előrejelzés során a statisztikai különbség ki lett küszöbölve, értéke nullának volt tekintve. A hozzáférhető energiafogyasztási adatok alapján feltételezésre került, hogy közelítőleg a teljes statisztikai különbség a tercier szektorból származik. Ebből eredően az előrejelzés bázisértéke a tercier szektor és a végső energiafogyasztás esetében az Eurostat adatbázisban szereplő statisztikai különbség értékével került csökkentésre.</t>
  </si>
  <si>
    <t>Az Európai Bizottság által javasolt árpálya került adaptálásra.</t>
  </si>
  <si>
    <t xml:space="preserve"> ICIS Tschach Solutions kvótapiaci elemzőcég előrejelzése került adaptálásra.</t>
  </si>
  <si>
    <t>Az euró-dollár keresztárfolyam az előrejelzéseknek nem volt bemenő paramétere.</t>
  </si>
  <si>
    <t>2008-2017 közötti időszak átlagos fűtési napfokszáma került számításba vételre a 2020-2030 közötti időszakban.</t>
  </si>
  <si>
    <t>2008-2017 közötti időszak átlagos hűtési napfokszáma került számításba vételre a 2020-2030 közötti időszakban.</t>
  </si>
  <si>
    <t>A megújulóenergia-felhasználásra vonatkozóan megadott adat a nem megújuló forrásból származó hulladékok felhasználását is tartalmazza.</t>
  </si>
  <si>
    <t>A beépített teljesítőképesség vonatkozásában nem került megkülönböztetésre a földgáztüzelés és az olajtüzelés, azok összevontan a gázerőművek statisztikai soron kerültek megadásra.</t>
  </si>
  <si>
    <t>A villamosenergia-termelés vonatkozásában nem került megkülönböztetésre a földgáztüzelés és az olajtüzelés, azok összevontan a gázerőművek statisztikai soron kerültek megadásra.</t>
  </si>
  <si>
    <t>A beépített teljesítőképességre vonatkozóan megadott adatok a háztartási méretű kiserőművek teljesítőképességét is tartalmazzák.</t>
  </si>
  <si>
    <t>A megadott adat kizárólag a földgázfelhasználást mutatja, a szénből származó kohógázt és kamragázt nem.</t>
  </si>
  <si>
    <t>Az előrejelzés 5 éves bontásban történt, az 5 éves időszakon belül az éves értékek lineáris interpolációval kerültek meghatározásra.</t>
  </si>
  <si>
    <t>A nemzetközi légiközlekedésben felhasznált kerozinmennyiség Magyarországon elszámolt értékét is tartalmazza.</t>
  </si>
  <si>
    <t>Az egyes végfogyasztói szektorok energiafogyasztásának összegéhez hozzáadásra került a nemzetközi légiközlekedés energiafelhasználásának magyar energiastatisztikában elszámolt értéke, ami a hazai szakpolitikai intézkedésektől független tényező.</t>
  </si>
  <si>
    <t>Az előrejlezett értékek nem tartalmazzák a nemzetközi légiközlekedésben felhasznált kerozin mennyiségét.</t>
  </si>
  <si>
    <t>1. Általános paraméterek és változók</t>
  </si>
  <si>
    <t>Népesség</t>
  </si>
  <si>
    <t>millió</t>
  </si>
  <si>
    <t>millió EUR</t>
  </si>
  <si>
    <t>Ágazati bruttó hozzáadott érték (beleértve a fő ipari, építőipari, szolgáltatási és mezőgazdasági ágazatokat)</t>
  </si>
  <si>
    <t>Mezőgazdaság</t>
  </si>
  <si>
    <t>Építőipar</t>
  </si>
  <si>
    <t>Szolgáltatások</t>
  </si>
  <si>
    <t>Energia szektor</t>
  </si>
  <si>
    <t>Ipar</t>
  </si>
  <si>
    <t>A háztartások száma</t>
  </si>
  <si>
    <t>ezer</t>
  </si>
  <si>
    <t>A háztartások mérete</t>
  </si>
  <si>
    <t>lakos/háztartás</t>
  </si>
  <si>
    <t>Az egy háztartásra jutó rendelkezésre álló jövedelem (évi)</t>
  </si>
  <si>
    <t>Utaskilóméter: minden közlekedési módban, azaz a közúti (a személygépjárművet és a buszokat lehetőleg külön kezelve), vasúti, légi és (ha van) belföldi hajózás között felosztva</t>
  </si>
  <si>
    <t>millió személyszállítási km</t>
  </si>
  <si>
    <t>Közúti közlekedés</t>
  </si>
  <si>
    <t>Személygépjárművek</t>
  </si>
  <si>
    <t>Buszok</t>
  </si>
  <si>
    <t>Vasúti közlekedés</t>
  </si>
  <si>
    <t>Légi közlekedés</t>
  </si>
  <si>
    <t>belföldi hajózás</t>
  </si>
  <si>
    <t>Áruszállítási tonnakilóméter: minden szállítási mód a nemzetközi tengeri szállítás kivételével, azaz a közúti, vasúti, légi és belföldi hajózás (belvizi utak és nemzeti felségvizek a tengereken) között felosztva</t>
  </si>
  <si>
    <t>millió tonnakilóméter</t>
  </si>
  <si>
    <t>Teherautók</t>
  </si>
  <si>
    <t>A kőolaj, földgáz és szén üzemanyagok nemzetközi importára a Bizottság ajánlásai alapján</t>
  </si>
  <si>
    <t>EUR/GJ vagy EUR/toe</t>
  </si>
  <si>
    <t>Kőolaj</t>
  </si>
  <si>
    <t>Földgáz (NCV)</t>
  </si>
  <si>
    <t>Szén</t>
  </si>
  <si>
    <t>A szén-dioxidnak az uniós kibocsátáskereskedelmi rendszerében szereplő ára a Bizottság ajánlása alapján</t>
  </si>
  <si>
    <t>EUR/EUA</t>
  </si>
  <si>
    <t>Az EUR és az USD átváltási árfolyamaira (ha alkalmazandó) vonatkozó feltevések</t>
  </si>
  <si>
    <t>EUR/pénznem és USD/pénznem</t>
  </si>
  <si>
    <t>Fűtési napok száma (fűtési napfokszám)</t>
  </si>
  <si>
    <t>Hűtési napok száma (hűtési napfokszám)</t>
  </si>
  <si>
    <t>A technológiaköltségekre vonatkozó feltevések, amelyeket a releváns technológiák modellezésére használnak fel</t>
  </si>
  <si>
    <t>2. Energiamérlegek és mutatók</t>
  </si>
  <si>
    <t>2.1 Energiaellátás</t>
  </si>
  <si>
    <t>Hazai energiatermelés üzemanyag-típusonként (az összes jelentős mennyiségben termelt energiatermék)</t>
  </si>
  <si>
    <t>Szilárd</t>
  </si>
  <si>
    <t>Földgáz</t>
  </si>
  <si>
    <t>Atomenergia</t>
  </si>
  <si>
    <t>Megújuló energiaforrások</t>
  </si>
  <si>
    <t>Nettó behozatal üzemanyag-típusonként (a villamos energiát is beleértve, felosztva az EU-n belülről és kívülről érkező nettó behozatalra)</t>
  </si>
  <si>
    <t>Villamosenergia</t>
  </si>
  <si>
    <t>A harmadik országoktól való importfüggőség</t>
  </si>
  <si>
    <t>A fő energiahordozók (köztük a földgáz és villamos energia) fő behozatali forrásai (országok)</t>
  </si>
  <si>
    <t>Villamos energia import szempontjából legjelentősebb ország (adja meg itt)</t>
  </si>
  <si>
    <t>% a teljes importhoz képest</t>
  </si>
  <si>
    <t>Főldgáz import szempontjából legjelentősebb ország (adja meg itt)</t>
  </si>
  <si>
    <t>Főldgáz import szempontjából 2. legjelentősebb ország (adja meg itt)</t>
  </si>
  <si>
    <t>Főldgáz import szempontjából 3. legjelentősebb ország (adja meg itt)</t>
  </si>
  <si>
    <t xml:space="preserve">Bruttó  hazai  energiafogyasztás az üzemanyag-típusok forrása szerint (köztük a szilárd üzemanyag, valamennyi energiatermék: kőszén, kőolaj és kőolajtermékek, földgáz, atomenergia, villamos energia, származtatott hő, megújuló energiaforrások, hulladék) </t>
  </si>
  <si>
    <t xml:space="preserve">Villamos energia  </t>
  </si>
  <si>
    <t>Egyéb</t>
  </si>
  <si>
    <t>2.2. Villamos energia és hő</t>
  </si>
  <si>
    <t>Bruttó villamosenergia-termelés</t>
  </si>
  <si>
    <t>GWh</t>
  </si>
  <si>
    <t>Bruttó villamosenergia-termelés üzemanyag-típusonként (minden energiatermék)</t>
  </si>
  <si>
    <t>Kőolaj (beleértve a finomított gázokat is)</t>
  </si>
  <si>
    <t>Földgáz (beleértve a származtatott gázokat is)</t>
  </si>
  <si>
    <t>Biomassza hulladék</t>
  </si>
  <si>
    <t>Vízerőmű (pumpa nélkül)</t>
  </si>
  <si>
    <t>Szél</t>
  </si>
  <si>
    <t>Nap</t>
  </si>
  <si>
    <t>Geotermikus és egyéb megújuló energia</t>
  </si>
  <si>
    <t>Egyéb üzemanyagok (hidrogén, metanol)</t>
  </si>
  <si>
    <t xml:space="preserve"> A kapcsolt energiatermelés részaránya a teljes villamosenergia- és hőenergia-termelésben (CHP villamosenergia-termelés elosztva a teljes bruttó villamosenergia-termeléssel, ideértve a szivattyúzott tároló erőművek előállítását is)</t>
  </si>
  <si>
    <t xml:space="preserve"> A kapcsolt energiatermelés részaránya a teljes villamosenergia- és hőenergia-termelésben (CHP hőtermelés elosztva a távhő teljes hőjével)</t>
  </si>
  <si>
    <r>
      <t xml:space="preserve">Villamosenergia-termelési kapacitás forrásonként, beleértve a visszavont kapacitásokat és az új beruházásokat is </t>
    </r>
    <r>
      <rPr>
        <sz val="8"/>
        <rFont val="Arial"/>
        <family val="2"/>
      </rPr>
      <t>[Megjegyzés: a nyugdíjazások és az új befektetések közötti megosztottság nem vezethet egyenesen a szabványos modellekhez való hozzájutásban. Kiegészítő feltételezésekre lehet szükség]</t>
    </r>
  </si>
  <si>
    <t>MW</t>
  </si>
  <si>
    <t>Hőenergia-termelésből származó hőtermelés</t>
  </si>
  <si>
    <t>MWh</t>
  </si>
  <si>
    <t>Villamos energia és a hőenergia kapcsolt termeléséből származó hőtermelés, beleértve az ipari hulladékhőt is</t>
  </si>
  <si>
    <t>2.3. Átalakítási ágazat</t>
  </si>
  <si>
    <t xml:space="preserve">A hőenergia-termelés során felhasznált üzemanyagok (köztük szilárd, kőolaj, földgáz) </t>
  </si>
  <si>
    <t>Egyéb átalakítási folyamatok üzemanyag-felhasználása</t>
  </si>
  <si>
    <t>2.4. Energiafogyasztás</t>
  </si>
  <si>
    <t>Primer energia felhasználás</t>
  </si>
  <si>
    <t>Végső energiafogyasztás</t>
  </si>
  <si>
    <t>Végső energiafogyasztáságazatonként (beleértve az ipari, lakossági, szolgáltatási, mezőgazdasági és közlekedési szektort (személy- és áruszállítás szerint felbontva, ha rendelkezésre áll))</t>
  </si>
  <si>
    <t>Ipari</t>
  </si>
  <si>
    <t>Lakossági</t>
  </si>
  <si>
    <t>Szolgáltatási</t>
  </si>
  <si>
    <t>Közlekedési</t>
  </si>
  <si>
    <t>Szállítási tevékenység, ha rendelkezésre áll</t>
  </si>
  <si>
    <t>Személyszállítás</t>
  </si>
  <si>
    <t>Áruszállítás</t>
  </si>
  <si>
    <t>Végső energiafogyasztás üzemanyagtípusok szerint (minden energiatermék)</t>
  </si>
  <si>
    <t>Villamos energia</t>
  </si>
  <si>
    <t>Távhő</t>
  </si>
  <si>
    <t>Nem energetikai célú végső fogyasztás</t>
  </si>
  <si>
    <t xml:space="preserve">A teljes gazdaság primerenergia-intenzitása (primerenergiafelhasználás a GDP-re vetítve) </t>
  </si>
  <si>
    <t xml:space="preserve">toe/EUR </t>
  </si>
  <si>
    <t>Végső energiaintenzitás ágazatok szerint (beleértve az ipari, lakossági, szolgáltatási és közlekedési szektort (személy- és áruszállítás szerint felbontva, ha rendelkezésre áll ))</t>
  </si>
  <si>
    <t>toe/EUR hozzáadott érték</t>
  </si>
  <si>
    <t>toe/millió pkm</t>
  </si>
  <si>
    <t>toe/millió tkm</t>
  </si>
  <si>
    <t>2.5. Árak</t>
  </si>
  <si>
    <t>Villamosenergia-árak a felhasználó ágazat típusa szerint (lakossági, ipari, szolgáltatási szektor)</t>
  </si>
  <si>
    <t>EUR/MWh</t>
  </si>
  <si>
    <t>Nemzeti kiskereskedelmi üzemanyagárak (adóval együtt, forrásonként és ágazatonként)</t>
  </si>
  <si>
    <t>Dízel olaj</t>
  </si>
  <si>
    <t>EUR/ktoe</t>
  </si>
  <si>
    <t xml:space="preserve">Ipar </t>
  </si>
  <si>
    <t>Háztartások</t>
  </si>
  <si>
    <t>Egyéni közlekedés</t>
  </si>
  <si>
    <t>Közösségi közlekedés</t>
  </si>
  <si>
    <t>Gázolaj</t>
  </si>
  <si>
    <t>2.6. Beruházások</t>
  </si>
  <si>
    <t>Beruházási költségek az energiaátalakítási, -ellátási, -átviteli/szállítási és-elosztási ágazatban a teljes gazdaság számára</t>
  </si>
  <si>
    <t>a GDP% -ában</t>
  </si>
  <si>
    <t>Beruházási költségek az energiaátalakítási, -ellátási, -átviteli/szállítási és-elosztási ágazatban az ipar számára</t>
  </si>
  <si>
    <t>a hozzáadott érték %-a</t>
  </si>
  <si>
    <t>2.7. Megújuló energiaforrások</t>
  </si>
  <si>
    <t>A megújuló forrásokból származó energia bruttó végső fogyasztása és a megújuló energia részaránya a bruttó végső energiafogyasztásban, ágazatok (villamos energia, fűtés és hűtés, közlekedés) és technológiák szerinti bontásban</t>
  </si>
  <si>
    <t>Megújuló energiaforrások a bruttó végső energiafogyasztásban</t>
  </si>
  <si>
    <t>Megújuló energiaforrások részesedése-Hűtés&amp;Fűtés</t>
  </si>
  <si>
    <t>Megújuló energiaforrások részesedése-Villamos energia</t>
  </si>
  <si>
    <t>Megújuló energiaforrások részesedése-Közlekedés</t>
  </si>
  <si>
    <t>A megújuló energia végső fogyasztása a közlekedésben, mint a teljes célhoz való hozzájárulás</t>
  </si>
  <si>
    <t>A IX. Melléklet A részében felsorolt és a közlekedésben felhasznált alapanyagokból előállított bioüzemanyagok és biogáz hozzájárulása</t>
  </si>
  <si>
    <t>A IX. Melléklet B részében felsorolt és a közlekedésben felhasznált nyersanyagból előállított bioüzemanyagok és biogáz hozzájárulása</t>
  </si>
  <si>
    <t>Hozzájárulás a bioüzemanyagokból, a folyékony bio-energiahordozókból és a biomasszából előállított üzemanyagokból, amelyeket élelmiszerből vagy takarmánynövényekből állítanak elő</t>
  </si>
  <si>
    <t>Bioüzemanyagok hozzájárulása, és a közlekedés fogyasztása</t>
  </si>
  <si>
    <t xml:space="preserve">A megújuló energiaforrások fűtésre és hűtésre használt bruttó végső fogyasztása </t>
  </si>
  <si>
    <t>A villamos energia bruttó végső fogyasztása megújuló energiaforrásokból</t>
  </si>
  <si>
    <t>A megújuló energiaforrások bruttó végső fogyasztása a közlekedésben</t>
  </si>
  <si>
    <t>A megújuló energiaforrások bruttó végső teljes fogyasztása</t>
  </si>
  <si>
    <t xml:space="preserve">A megújuló energiaforrások fűtésre és hűtésre bruttó végső fogyasztása </t>
  </si>
  <si>
    <t>A távfűtési és hűtési célú megújüló energiaforrások bruttó végső fogyasztása</t>
  </si>
  <si>
    <t>Megújuló energiaforrások részesedése a távfűtés és hűtés között a bruttó végső fogyasztásnál a fűtés és a hűtés tekintetében</t>
  </si>
  <si>
    <t>A távhő és a hűtési hőmennyiség bruttó végső fogyasztása</t>
  </si>
  <si>
    <t>3. Az üvegházhatásúgáz-kibocsátásokra és-eltávolításra vonatkozó mutatók</t>
  </si>
  <si>
    <t>Üvegházhatásúgáz-kibocsátások szakpolitikai ágazatonként (EU ETS, erőfreszítés-megosztási rendelet és LULUCF</t>
  </si>
  <si>
    <t>ETS szektorok kibocsátása (a kibocsátáskereskedelmi rendszer hatálya 2013 óta)</t>
  </si>
  <si>
    <t>Erőfeszítés megosztási szektor üvegházhatásúgázok kibocsátása (hatályban 2013 óta)</t>
  </si>
  <si>
    <t>LULUCF (az EU-jogszabályok követelményeinek megfelelően)</t>
  </si>
  <si>
    <t>Üvegházhatásúgáz-kibocsátások az IPCC-ágazatok és gázok szerint (adott esetben az EU ETS és az erőfeszítés-megosztási rendelet hatálya alá tartozó ágazatok szerinti bontásban)</t>
  </si>
  <si>
    <t>tCO2eq/GDP</t>
  </si>
  <si>
    <t>A CO2-kibocsátáshoz kapcsolódó mutatók</t>
  </si>
  <si>
    <t>A belföldi villamosenergia- és hőenergia-termelés üveggázhatásúgáz-intenzitása</t>
  </si>
  <si>
    <t xml:space="preserve">A végsőenergia-fogyasztás üvegházhatásúgáz-intenzitása ágazatonként </t>
  </si>
  <si>
    <t>A nem CO2-kibocsátáshoz kapcsolódó mutatók</t>
  </si>
  <si>
    <t>Állattartás</t>
  </si>
  <si>
    <t>Tejelő tehén</t>
  </si>
  <si>
    <t>1 000 darab</t>
  </si>
  <si>
    <t>Nem tejelő tehén</t>
  </si>
  <si>
    <t>2 000 darab</t>
  </si>
  <si>
    <t>Sertés</t>
  </si>
  <si>
    <t>3 000 darab</t>
  </si>
  <si>
    <t>Juh</t>
  </si>
  <si>
    <t>4 000 darab</t>
  </si>
  <si>
    <t>Baromfi</t>
  </si>
  <si>
    <t>5 000 darab</t>
  </si>
  <si>
    <t xml:space="preserve">Szintetikus műtrágyák alkalmazásából eredő nitrogénbevitel </t>
  </si>
  <si>
    <t>kt nitrogén</t>
  </si>
  <si>
    <t xml:space="preserve">Trágya alkalmazásából eredő nitrogénbevitel </t>
  </si>
  <si>
    <t xml:space="preserve">Nitrogént megkötő növények által megkötött nitrogén </t>
  </si>
  <si>
    <t xml:space="preserve">A talajba visszaforgatott növénymaradványokban lévő nitrogén </t>
  </si>
  <si>
    <t xml:space="preserve">A megművelt szerves talaj területe </t>
  </si>
  <si>
    <t>hektár</t>
  </si>
  <si>
    <t>Települési szilárd hulladék  keletkeztetése</t>
  </si>
  <si>
    <t>Hulladéklerakókba kerülő települési szilárd hulladék</t>
  </si>
  <si>
    <t xml:space="preserve">Visszanyert CH4 aránya a hulladéklerakóban keletkező összes CH4-ből </t>
  </si>
  <si>
    <t>Mértékegység</t>
  </si>
  <si>
    <r>
      <t xml:space="preserve">Határokon átnyúló rendszerösszekapcsolási kapacitások és a </t>
    </r>
    <r>
      <rPr>
        <b/>
        <sz val="8"/>
        <rFont val="Arial"/>
        <family val="2"/>
        <charset val="238"/>
      </rPr>
      <t>villamos energia tekintetében</t>
    </r>
    <r>
      <rPr>
        <b/>
        <sz val="8"/>
        <rFont val="Arial"/>
        <family val="2"/>
      </rPr>
      <t xml:space="preserve"> [a villamosenergia-összekapcsolhatóság szintje a 4. cikk d) pontjának (1) bekezdésével és az Energia Uniós Governance rendelet vonatkozó mellékletével] és ezek előrevetített kihasználtsága [figyelembe véve, hogy ilyen információ nem biztosítható szabványos energiarendszer-modellekben; szükség lehet kiegészítő eszközökre vagy feltételezésekre]</t>
    </r>
  </si>
  <si>
    <r>
      <t>Hulladékhő és</t>
    </r>
    <r>
      <rPr>
        <sz val="8"/>
        <rFont val="Arial"/>
        <family val="2"/>
        <charset val="238"/>
      </rPr>
      <t xml:space="preserve"> hideg ré</t>
    </r>
    <r>
      <rPr>
        <sz val="8"/>
        <rFont val="Arial"/>
        <family val="2"/>
      </rPr>
      <t>szarány a bruttó végső fogyasztásnál a fűtés és a hűtés tekintetében</t>
    </r>
  </si>
  <si>
    <r>
      <t xml:space="preserve">Hulladékhő és </t>
    </r>
    <r>
      <rPr>
        <sz val="8"/>
        <rFont val="Arial"/>
        <family val="2"/>
        <charset val="238"/>
      </rPr>
      <t>hideg része</t>
    </r>
    <r>
      <rPr>
        <sz val="8"/>
        <rFont val="Arial"/>
        <family val="2"/>
      </rPr>
      <t>sedés a távfűtés és hűtés között a bruttó végső fogyasztásnál a fűtés és a hűtés tekintetében</t>
    </r>
  </si>
  <si>
    <t>A megújuló energiából származó villamosenergia- és hőenergia-előállítás az épületekben; ide tartoznak – , amennyiben rendelkezésre állnak – a fotovoltaikus rendszerek, a naphőenergia-rendszerek, a biomassza, a hőszivattyúk, a geotermikus rendszerek, valamint más decentralizált megújulóenergia-rendszerek által előállított, felhasznált és a hálózatba visszatáplált energiára vonatkozó lebontott adatok</t>
  </si>
  <si>
    <r>
      <t>Adott esetben egyéb nemzeti pályák, köztük a hosszú távú és ágazati pályák is (az élelmiszeralapú és fejlett bioüzemanyagok részaránya, a megújuló energia részaránya a távfűtésben, valamint a városok és energiaközösségek által előállított megújuló energia az (EU) 2018/... irányelv</t>
    </r>
    <r>
      <rPr>
        <b/>
        <vertAlign val="superscript"/>
        <sz val="11"/>
        <rFont val="Calibri"/>
        <family val="2"/>
        <charset val="238"/>
        <scheme val="minor"/>
      </rPr>
      <t>+</t>
    </r>
    <r>
      <rPr>
        <b/>
        <sz val="11"/>
        <rFont val="Calibri"/>
        <family val="2"/>
        <scheme val="minor"/>
      </rPr>
      <t xml:space="preserve"> 22. cikkében meghatározottak szerint). </t>
    </r>
  </si>
  <si>
    <r>
      <t>(EU) 2018/… irányelv</t>
    </r>
    <r>
      <rPr>
        <b/>
        <vertAlign val="superscript"/>
        <sz val="11"/>
        <rFont val="Calibri"/>
        <family val="2"/>
        <charset val="238"/>
        <scheme val="minor"/>
      </rPr>
      <t>+</t>
    </r>
    <r>
      <rPr>
        <b/>
        <sz val="11"/>
        <rFont val="Calibri"/>
        <family val="2"/>
        <charset val="238"/>
        <scheme val="minor"/>
      </rPr>
      <t>:</t>
    </r>
    <r>
      <rPr>
        <b/>
        <sz val="11"/>
        <rFont val="Calibri"/>
        <family val="2"/>
        <scheme val="minor"/>
      </rPr>
      <t xml:space="preserve"> HL: Kérjük, illessze be a COD 2016/0382 (megújuló energia) számát</t>
    </r>
  </si>
  <si>
    <t>Megjegyzések</t>
  </si>
  <si>
    <t>Felhasznált paraméterek és változók (WAM forgatókönyv)</t>
  </si>
  <si>
    <t>Az 1. mellékletben</t>
  </si>
  <si>
    <t xml:space="preserve">A gazdaság egészének  üvegházhatásúgáz-intenzitása </t>
  </si>
  <si>
    <t xml:space="preserve">  - 2020-ig Eurostat
  - a 2020 és 2030 közötti időszakra vonatkozó adatok esetében: Pénzügyminisztérium becslés
  - az adatok 2005-ös árakon alapulnak, így a 2005-ös EUR-szintet figyelembe veszik.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</si>
</sst>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General_)"/>
    <numFmt numFmtId="165" formatCode="0_)"/>
    <numFmt numFmtId="166" formatCode="0.0_)"/>
    <numFmt numFmtId="167" formatCode="0.00_)"/>
    <numFmt numFmtId="168" formatCode="0.000"/>
    <numFmt numFmtId="169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Courier"/>
      <family val="3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20"/>
      <name val="Times New Roman"/>
      <family val="1"/>
    </font>
    <font>
      <sz val="11"/>
      <name val="Calibri"/>
      <family val="2"/>
      <scheme val="minor"/>
    </font>
    <font>
      <sz val="8"/>
      <name val="Arial"/>
      <family val="2"/>
      <charset val="238"/>
    </font>
    <font>
      <b/>
      <vertAlign val="superscript"/>
      <sz val="11"/>
      <name val="Calibri"/>
      <family val="2"/>
      <charset val="238"/>
      <scheme val="minor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164" fontId="2" fillId="0" borderId="0"/>
    <xf numFmtId="0" fontId="10" fillId="0" borderId="0"/>
    <xf numFmtId="9" fontId="13" fillId="0" borderId="0" applyFont="0" applyFill="0" applyBorder="0" applyAlignment="0" applyProtection="0"/>
    <xf numFmtId="0" fontId="14" fillId="0" borderId="0"/>
    <xf numFmtId="0" fontId="1" fillId="0" borderId="0"/>
  </cellStyleXfs>
  <cellXfs count="92">
    <xf numFmtId="0" fontId="0" fillId="0" borderId="0" xfId="0"/>
    <xf numFmtId="3" fontId="15" fillId="0" borderId="8" xfId="0" applyNumberFormat="1" applyFont="1" applyFill="1" applyBorder="1" applyAlignment="1">
      <alignment horizontal="center"/>
    </xf>
    <xf numFmtId="0" fontId="16" fillId="0" borderId="2" xfId="0" applyFont="1" applyFill="1" applyBorder="1" applyAlignment="1">
      <alignment vertical="center" wrapText="1"/>
    </xf>
    <xf numFmtId="164" fontId="3" fillId="0" borderId="2" xfId="1" quotePrefix="1" applyFont="1" applyFill="1" applyBorder="1" applyAlignment="1">
      <alignment horizontal="center" vertical="center"/>
    </xf>
    <xf numFmtId="3" fontId="15" fillId="0" borderId="8" xfId="0" applyNumberFormat="1" applyFont="1" applyFill="1" applyBorder="1" applyAlignment="1">
      <alignment horizontal="center" vertical="center"/>
    </xf>
    <xf numFmtId="0" fontId="7" fillId="0" borderId="2" xfId="2" applyFont="1" applyFill="1" applyBorder="1" applyAlignment="1">
      <alignment wrapText="1"/>
    </xf>
    <xf numFmtId="0" fontId="7" fillId="0" borderId="2" xfId="2" applyFont="1" applyFill="1" applyBorder="1" applyAlignment="1">
      <alignment horizontal="left" wrapText="1"/>
    </xf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horizontal="center" vertical="center" wrapText="1"/>
    </xf>
    <xf numFmtId="164" fontId="4" fillId="0" borderId="2" xfId="1" applyFont="1" applyFill="1" applyBorder="1"/>
    <xf numFmtId="164" fontId="3" fillId="0" borderId="2" xfId="1" applyFont="1" applyFill="1" applyBorder="1" applyAlignment="1">
      <alignment horizontal="left" wrapText="1"/>
    </xf>
    <xf numFmtId="164" fontId="3" fillId="0" borderId="2" xfId="1" applyFont="1" applyFill="1" applyBorder="1" applyAlignment="1">
      <alignment horizontal="left" wrapText="1" indent="1"/>
    </xf>
    <xf numFmtId="164" fontId="4" fillId="0" borderId="2" xfId="1" applyFont="1" applyFill="1" applyBorder="1" applyAlignment="1">
      <alignment horizontal="left" wrapText="1" indent="1"/>
    </xf>
    <xf numFmtId="164" fontId="7" fillId="0" borderId="2" xfId="1" applyFont="1" applyFill="1" applyBorder="1" applyAlignment="1">
      <alignment horizontal="left" wrapText="1"/>
    </xf>
    <xf numFmtId="164" fontId="5" fillId="0" borderId="2" xfId="1" applyFont="1" applyFill="1" applyBorder="1" applyAlignment="1">
      <alignment horizontal="left" wrapText="1" indent="1"/>
    </xf>
    <xf numFmtId="0" fontId="12" fillId="0" borderId="2" xfId="0" applyFont="1" applyFill="1" applyBorder="1"/>
    <xf numFmtId="0" fontId="12" fillId="0" borderId="2" xfId="0" applyFont="1" applyFill="1" applyBorder="1" applyAlignment="1">
      <alignment vertical="center" wrapText="1"/>
    </xf>
    <xf numFmtId="164" fontId="5" fillId="0" borderId="2" xfId="1" applyFont="1" applyFill="1" applyBorder="1" applyAlignment="1">
      <alignment horizontal="left" wrapText="1"/>
    </xf>
    <xf numFmtId="164" fontId="9" fillId="0" borderId="2" xfId="1" applyFont="1" applyFill="1" applyBorder="1" applyAlignment="1">
      <alignment horizontal="left"/>
    </xf>
    <xf numFmtId="164" fontId="4" fillId="0" borderId="2" xfId="1" applyFont="1" applyFill="1" applyBorder="1" applyAlignment="1">
      <alignment horizontal="left" wrapText="1"/>
    </xf>
    <xf numFmtId="164" fontId="11" fillId="0" borderId="2" xfId="1" applyFont="1" applyFill="1" applyBorder="1" applyAlignment="1">
      <alignment horizontal="left"/>
    </xf>
    <xf numFmtId="164" fontId="8" fillId="0" borderId="2" xfId="1" applyFont="1" applyFill="1" applyBorder="1" applyAlignment="1">
      <alignment horizontal="left" wrapText="1"/>
    </xf>
    <xf numFmtId="164" fontId="6" fillId="0" borderId="2" xfId="1" applyFont="1" applyFill="1" applyBorder="1" applyAlignment="1">
      <alignment horizontal="left" wrapText="1" indent="2"/>
    </xf>
    <xf numFmtId="164" fontId="6" fillId="0" borderId="2" xfId="1" applyFont="1" applyFill="1" applyBorder="1" applyAlignment="1">
      <alignment horizontal="left" wrapText="1"/>
    </xf>
    <xf numFmtId="164" fontId="4" fillId="0" borderId="2" xfId="1" applyFont="1" applyFill="1" applyBorder="1" applyAlignment="1">
      <alignment horizontal="left" wrapText="1" indent="2"/>
    </xf>
    <xf numFmtId="0" fontId="4" fillId="0" borderId="2" xfId="2" applyFont="1" applyFill="1" applyBorder="1" applyAlignment="1">
      <alignment horizontal="left" wrapText="1" indent="1"/>
    </xf>
    <xf numFmtId="0" fontId="4" fillId="0" borderId="2" xfId="2" applyFont="1" applyFill="1" applyBorder="1" applyAlignment="1">
      <alignment horizontal="left" wrapText="1"/>
    </xf>
    <xf numFmtId="0" fontId="16" fillId="0" borderId="2" xfId="0" applyFont="1" applyFill="1" applyBorder="1" applyAlignment="1">
      <alignment wrapText="1"/>
    </xf>
    <xf numFmtId="1" fontId="3" fillId="0" borderId="2" xfId="1" applyNumberFormat="1" applyFont="1" applyFill="1" applyBorder="1" applyAlignment="1">
      <alignment horizontal="center"/>
    </xf>
    <xf numFmtId="167" fontId="15" fillId="0" borderId="2" xfId="1" applyNumberFormat="1" applyFont="1" applyFill="1" applyBorder="1" applyAlignment="1">
      <alignment horizontal="center"/>
    </xf>
    <xf numFmtId="167" fontId="7" fillId="0" borderId="2" xfId="1" applyNumberFormat="1" applyFont="1" applyFill="1" applyBorder="1" applyAlignment="1">
      <alignment horizontal="center"/>
    </xf>
    <xf numFmtId="2" fontId="15" fillId="0" borderId="2" xfId="1" applyNumberFormat="1" applyFont="1" applyFill="1" applyBorder="1" applyAlignment="1">
      <alignment horizontal="center"/>
    </xf>
    <xf numFmtId="1" fontId="15" fillId="0" borderId="2" xfId="1" applyNumberFormat="1" applyFont="1" applyFill="1" applyBorder="1" applyAlignment="1">
      <alignment horizontal="center"/>
    </xf>
    <xf numFmtId="167" fontId="4" fillId="0" borderId="2" xfId="1" applyNumberFormat="1" applyFont="1" applyFill="1" applyBorder="1" applyAlignment="1">
      <alignment horizontal="center"/>
    </xf>
    <xf numFmtId="1" fontId="5" fillId="0" borderId="2" xfId="1" applyNumberFormat="1" applyFont="1" applyFill="1" applyBorder="1" applyAlignment="1">
      <alignment horizontal="center"/>
    </xf>
    <xf numFmtId="1" fontId="4" fillId="0" borderId="2" xfId="1" applyNumberFormat="1" applyFont="1" applyFill="1" applyBorder="1" applyAlignment="1">
      <alignment horizontal="center"/>
    </xf>
    <xf numFmtId="2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4" fontId="8" fillId="0" borderId="2" xfId="1" applyFont="1" applyFill="1" applyBorder="1" applyAlignment="1">
      <alignment horizontal="center"/>
    </xf>
    <xf numFmtId="164" fontId="4" fillId="0" borderId="0" xfId="1" applyFont="1" applyFill="1" applyAlignment="1">
      <alignment horizontal="left" wrapText="1"/>
    </xf>
    <xf numFmtId="164" fontId="6" fillId="0" borderId="0" xfId="1" applyFont="1" applyFill="1" applyBorder="1" applyAlignment="1">
      <alignment horizontal="left" indent="2"/>
    </xf>
    <xf numFmtId="0" fontId="17" fillId="0" borderId="1" xfId="0" applyFont="1" applyFill="1" applyBorder="1" applyAlignment="1">
      <alignment horizontal="center" wrapText="1"/>
    </xf>
    <xf numFmtId="0" fontId="18" fillId="0" borderId="2" xfId="0" applyFont="1" applyFill="1" applyBorder="1" applyAlignment="1">
      <alignment vertical="center"/>
    </xf>
    <xf numFmtId="0" fontId="18" fillId="0" borderId="0" xfId="0" applyFont="1" applyFill="1"/>
    <xf numFmtId="0" fontId="18" fillId="0" borderId="2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168" fontId="7" fillId="0" borderId="2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1" fontId="7" fillId="0" borderId="2" xfId="0" applyNumberFormat="1" applyFont="1" applyFill="1" applyBorder="1" applyAlignment="1">
      <alignment horizontal="center"/>
    </xf>
    <xf numFmtId="0" fontId="18" fillId="0" borderId="2" xfId="0" applyFont="1" applyFill="1" applyBorder="1"/>
    <xf numFmtId="1" fontId="7" fillId="0" borderId="2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horizontal="left"/>
    </xf>
    <xf numFmtId="1" fontId="7" fillId="0" borderId="2" xfId="0" applyNumberFormat="1" applyFont="1" applyFill="1" applyBorder="1" applyAlignment="1">
      <alignment horizontal="center" wrapText="1"/>
    </xf>
    <xf numFmtId="169" fontId="7" fillId="0" borderId="2" xfId="3" applyNumberFormat="1" applyFont="1" applyFill="1" applyBorder="1" applyAlignment="1">
      <alignment horizontal="center"/>
    </xf>
    <xf numFmtId="164" fontId="7" fillId="0" borderId="2" xfId="1" applyFont="1" applyFill="1" applyBorder="1" applyAlignment="1">
      <alignment horizontal="left" wrapText="1" indent="1"/>
    </xf>
    <xf numFmtId="1" fontId="19" fillId="0" borderId="2" xfId="0" applyNumberFormat="1" applyFont="1" applyFill="1" applyBorder="1" applyAlignment="1">
      <alignment horizontal="center" vertical="center"/>
    </xf>
    <xf numFmtId="168" fontId="7" fillId="0" borderId="2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horizontal="left" vertical="center"/>
    </xf>
    <xf numFmtId="10" fontId="7" fillId="0" borderId="2" xfId="3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left" wrapText="1"/>
    </xf>
    <xf numFmtId="10" fontId="7" fillId="0" borderId="2" xfId="3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/>
    </xf>
    <xf numFmtId="0" fontId="16" fillId="0" borderId="2" xfId="0" applyFont="1" applyFill="1" applyBorder="1" applyAlignment="1">
      <alignment horizontal="left" wrapText="1"/>
    </xf>
    <xf numFmtId="0" fontId="18" fillId="0" borderId="2" xfId="0" applyFont="1" applyFill="1" applyBorder="1" applyAlignment="1">
      <alignment horizontal="right"/>
    </xf>
    <xf numFmtId="1" fontId="15" fillId="0" borderId="2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1" fontId="21" fillId="0" borderId="4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left" wrapText="1" indent="1"/>
    </xf>
    <xf numFmtId="0" fontId="18" fillId="0" borderId="2" xfId="0" applyFont="1" applyFill="1" applyBorder="1" applyAlignment="1">
      <alignment horizontal="left" wrapText="1"/>
    </xf>
    <xf numFmtId="0" fontId="12" fillId="0" borderId="2" xfId="0" applyFont="1" applyFill="1" applyBorder="1" applyAlignment="1">
      <alignment horizontal="left" vertical="top" wrapText="1"/>
    </xf>
    <xf numFmtId="0" fontId="18" fillId="0" borderId="0" xfId="0" applyFont="1" applyFill="1" applyAlignment="1">
      <alignment horizontal="left" wrapText="1"/>
    </xf>
    <xf numFmtId="0" fontId="18" fillId="0" borderId="0" xfId="0" applyFont="1" applyFill="1" applyAlignment="1">
      <alignment wrapText="1"/>
    </xf>
    <xf numFmtId="0" fontId="17" fillId="0" borderId="3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 wrapText="1"/>
    </xf>
    <xf numFmtId="164" fontId="9" fillId="0" borderId="2" xfId="1" applyFont="1" applyFill="1" applyBorder="1" applyAlignment="1">
      <alignment horizontal="left"/>
    </xf>
    <xf numFmtId="1" fontId="21" fillId="0" borderId="3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" fontId="21" fillId="0" borderId="4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/>
    </xf>
    <xf numFmtId="164" fontId="11" fillId="0" borderId="2" xfId="1" applyFont="1" applyFill="1" applyBorder="1" applyAlignment="1">
      <alignment horizontal="left"/>
    </xf>
    <xf numFmtId="0" fontId="11" fillId="0" borderId="2" xfId="0" applyFont="1" applyFill="1" applyBorder="1" applyAlignment="1">
      <alignment horizontal="left" vertical="center"/>
    </xf>
    <xf numFmtId="164" fontId="9" fillId="0" borderId="3" xfId="1" applyFont="1" applyFill="1" applyBorder="1" applyAlignment="1">
      <alignment horizontal="left"/>
    </xf>
    <xf numFmtId="164" fontId="9" fillId="0" borderId="1" xfId="1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</cellXfs>
  <cellStyles count="6">
    <cellStyle name="Normál" xfId="0" builtinId="0"/>
    <cellStyle name="Normál 2" xfId="4"/>
    <cellStyle name="Normál 2 2" xfId="5"/>
    <cellStyle name="Normal_AppendixAU" xfId="1"/>
    <cellStyle name="Normal_detfuelpri" xfId="2"/>
    <cellStyle name="Százalék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0"/>
  <sheetViews>
    <sheetView tabSelected="1" zoomScale="80" zoomScaleNormal="80" workbookViewId="0">
      <selection activeCell="C13" sqref="C13"/>
    </sheetView>
  </sheetViews>
  <sheetFormatPr defaultRowHeight="15" x14ac:dyDescent="0.25"/>
  <cols>
    <col min="1" max="1" width="5.85546875" style="44" customWidth="1"/>
    <col min="2" max="2" width="56.28515625" style="75" customWidth="1"/>
    <col min="3" max="3" width="19.42578125" style="76" customWidth="1"/>
    <col min="4" max="4" width="11.5703125" style="44" bestFit="1" customWidth="1"/>
    <col min="5" max="6" width="10.5703125" style="44" bestFit="1" customWidth="1"/>
    <col min="7" max="16" width="10.5703125" style="44" customWidth="1"/>
    <col min="17" max="18" width="10.5703125" style="44" bestFit="1" customWidth="1"/>
    <col min="19" max="19" width="11.140625" style="44" customWidth="1"/>
    <col min="20" max="20" width="82.85546875" style="44" customWidth="1"/>
    <col min="21" max="16384" width="9.140625" style="44"/>
  </cols>
  <sheetData>
    <row r="1" spans="1:20" ht="47.25" customHeight="1" x14ac:dyDescent="0.35">
      <c r="A1" s="77" t="s">
        <v>211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42"/>
    </row>
    <row r="2" spans="1:20" s="46" customFormat="1" x14ac:dyDescent="0.25">
      <c r="A2" s="45"/>
      <c r="B2" s="7"/>
      <c r="C2" s="8" t="s">
        <v>203</v>
      </c>
      <c r="D2" s="3">
        <v>2005</v>
      </c>
      <c r="E2" s="3">
        <v>2010</v>
      </c>
      <c r="F2" s="3">
        <v>2015</v>
      </c>
      <c r="G2" s="3">
        <v>2020</v>
      </c>
      <c r="H2" s="3">
        <v>2021</v>
      </c>
      <c r="I2" s="3">
        <v>2022</v>
      </c>
      <c r="J2" s="3">
        <v>2023</v>
      </c>
      <c r="K2" s="3">
        <v>2024</v>
      </c>
      <c r="L2" s="3">
        <v>2025</v>
      </c>
      <c r="M2" s="3">
        <v>2026</v>
      </c>
      <c r="N2" s="3">
        <v>2027</v>
      </c>
      <c r="O2" s="3">
        <v>2028</v>
      </c>
      <c r="P2" s="3">
        <v>2029</v>
      </c>
      <c r="Q2" s="3">
        <v>2030</v>
      </c>
      <c r="R2" s="3">
        <v>2035</v>
      </c>
      <c r="S2" s="3">
        <v>2040</v>
      </c>
      <c r="T2" s="3" t="s">
        <v>210</v>
      </c>
    </row>
    <row r="3" spans="1:20" ht="15.75" x14ac:dyDescent="0.25">
      <c r="A3" s="79" t="s">
        <v>36</v>
      </c>
      <c r="B3" s="79"/>
      <c r="C3" s="17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s="48" customFormat="1" ht="30" x14ac:dyDescent="0.25">
      <c r="A4" s="15">
        <v>1</v>
      </c>
      <c r="B4" s="10" t="s">
        <v>37</v>
      </c>
      <c r="C4" s="10" t="s">
        <v>38</v>
      </c>
      <c r="D4" s="47">
        <v>10.098000000000001</v>
      </c>
      <c r="E4" s="47">
        <v>10.013999999999999</v>
      </c>
      <c r="F4" s="47">
        <v>9.8559999999999999</v>
      </c>
      <c r="G4" s="47">
        <v>9.73</v>
      </c>
      <c r="H4" s="47">
        <f>G4-(($G4-$L4)/5)</f>
        <v>9.7050000000000001</v>
      </c>
      <c r="I4" s="47">
        <f t="shared" ref="I4:K4" si="0">H4-(($G4-$L4)/5)</f>
        <v>9.68</v>
      </c>
      <c r="J4" s="47">
        <f t="shared" si="0"/>
        <v>9.6549999999999994</v>
      </c>
      <c r="K4" s="47">
        <f t="shared" si="0"/>
        <v>9.629999999999999</v>
      </c>
      <c r="L4" s="47">
        <v>9.6050000000000004</v>
      </c>
      <c r="M4" s="47">
        <f>L4-(($L4-$Q4)/5)</f>
        <v>9.58</v>
      </c>
      <c r="N4" s="47">
        <f t="shared" ref="N4:P4" si="1">M4-(($L4-$Q4)/5)</f>
        <v>9.5549999999999997</v>
      </c>
      <c r="O4" s="47">
        <f t="shared" si="1"/>
        <v>9.5299999999999994</v>
      </c>
      <c r="P4" s="47">
        <f t="shared" si="1"/>
        <v>9.504999999999999</v>
      </c>
      <c r="Q4" s="47">
        <v>9.48</v>
      </c>
      <c r="R4" s="47"/>
      <c r="S4" s="47"/>
      <c r="T4" s="2" t="s">
        <v>32</v>
      </c>
    </row>
    <row r="5" spans="1:20" ht="15" customHeight="1" x14ac:dyDescent="0.25">
      <c r="A5" s="15">
        <v>2</v>
      </c>
      <c r="B5" s="10" t="s">
        <v>9</v>
      </c>
      <c r="C5" s="10" t="s">
        <v>39</v>
      </c>
      <c r="D5" s="49">
        <v>90948.9</v>
      </c>
      <c r="E5" s="49">
        <v>89929.1</v>
      </c>
      <c r="F5" s="49">
        <v>99073.8</v>
      </c>
      <c r="G5" s="49">
        <v>119158.93663346399</v>
      </c>
      <c r="H5" s="49"/>
      <c r="I5" s="49"/>
      <c r="J5" s="49"/>
      <c r="K5" s="49"/>
      <c r="L5" s="49">
        <v>145323.56353472485</v>
      </c>
      <c r="M5" s="49"/>
      <c r="N5" s="49"/>
      <c r="O5" s="49"/>
      <c r="P5" s="49"/>
      <c r="Q5" s="49">
        <v>174845.43873821269</v>
      </c>
      <c r="R5" s="49"/>
      <c r="S5" s="49"/>
      <c r="T5" s="83" t="s">
        <v>214</v>
      </c>
    </row>
    <row r="6" spans="1:20" ht="23.25" x14ac:dyDescent="0.25">
      <c r="A6" s="15">
        <v>3</v>
      </c>
      <c r="B6" s="10" t="s">
        <v>40</v>
      </c>
      <c r="C6" s="10" t="s">
        <v>39</v>
      </c>
      <c r="D6" s="49">
        <v>78351.5</v>
      </c>
      <c r="E6" s="49">
        <v>77279.600000000006</v>
      </c>
      <c r="F6" s="49">
        <v>85943.1</v>
      </c>
      <c r="G6" s="49">
        <v>103302.24234961095</v>
      </c>
      <c r="H6" s="49"/>
      <c r="I6" s="49"/>
      <c r="J6" s="49"/>
      <c r="K6" s="49"/>
      <c r="L6" s="49">
        <v>126509.21232592201</v>
      </c>
      <c r="M6" s="49"/>
      <c r="N6" s="49"/>
      <c r="O6" s="49"/>
      <c r="P6" s="49"/>
      <c r="Q6" s="49">
        <v>152811.40344586538</v>
      </c>
      <c r="R6" s="49"/>
      <c r="S6" s="49"/>
      <c r="T6" s="84"/>
    </row>
    <row r="7" spans="1:20" x14ac:dyDescent="0.25">
      <c r="A7" s="50"/>
      <c r="B7" s="11" t="s">
        <v>41</v>
      </c>
      <c r="C7" s="10" t="s">
        <v>39</v>
      </c>
      <c r="D7" s="49">
        <v>3339.1</v>
      </c>
      <c r="E7" s="49">
        <v>2632.7</v>
      </c>
      <c r="F7" s="49">
        <v>3113.3</v>
      </c>
      <c r="G7" s="49">
        <v>3238.9</v>
      </c>
      <c r="H7" s="49"/>
      <c r="I7" s="49"/>
      <c r="J7" s="49"/>
      <c r="K7" s="49"/>
      <c r="L7" s="49">
        <v>3238.9</v>
      </c>
      <c r="M7" s="49"/>
      <c r="N7" s="49"/>
      <c r="O7" s="49"/>
      <c r="P7" s="49"/>
      <c r="Q7" s="49">
        <v>3238.9</v>
      </c>
      <c r="R7" s="49"/>
      <c r="S7" s="49"/>
      <c r="T7" s="84"/>
    </row>
    <row r="8" spans="1:20" x14ac:dyDescent="0.25">
      <c r="A8" s="50"/>
      <c r="B8" s="11" t="s">
        <v>42</v>
      </c>
      <c r="C8" s="10" t="s">
        <v>39</v>
      </c>
      <c r="D8" s="49">
        <v>4478.8999999999996</v>
      </c>
      <c r="E8" s="49">
        <v>3113.9</v>
      </c>
      <c r="F8" s="49">
        <v>3605.7</v>
      </c>
      <c r="G8" s="49">
        <v>4472.5636881744113</v>
      </c>
      <c r="H8" s="49"/>
      <c r="I8" s="49"/>
      <c r="J8" s="49"/>
      <c r="K8" s="49"/>
      <c r="L8" s="49">
        <v>5551.6115203678855</v>
      </c>
      <c r="M8" s="49"/>
      <c r="N8" s="49"/>
      <c r="O8" s="49"/>
      <c r="P8" s="49"/>
      <c r="Q8" s="49">
        <v>6590.4453647332002</v>
      </c>
      <c r="R8" s="49"/>
      <c r="T8" s="84"/>
    </row>
    <row r="9" spans="1:20" x14ac:dyDescent="0.25">
      <c r="A9" s="50"/>
      <c r="B9" s="11" t="s">
        <v>43</v>
      </c>
      <c r="C9" s="10" t="s">
        <v>39</v>
      </c>
      <c r="D9" s="49">
        <v>50502.185735355859</v>
      </c>
      <c r="E9" s="49">
        <v>49534.467610388405</v>
      </c>
      <c r="F9" s="49">
        <v>53656.434261380418</v>
      </c>
      <c r="G9" s="49">
        <v>67106.100627258231</v>
      </c>
      <c r="H9" s="49"/>
      <c r="I9" s="49"/>
      <c r="J9" s="49"/>
      <c r="K9" s="49"/>
      <c r="L9" s="49">
        <v>80737.12761205835</v>
      </c>
      <c r="M9" s="49"/>
      <c r="N9" s="49"/>
      <c r="O9" s="49"/>
      <c r="P9" s="49"/>
      <c r="Q9" s="49">
        <v>97425.977238857871</v>
      </c>
      <c r="R9" s="49"/>
      <c r="S9" s="49"/>
      <c r="T9" s="84"/>
    </row>
    <row r="10" spans="1:20" x14ac:dyDescent="0.25">
      <c r="A10" s="50"/>
      <c r="B10" s="11" t="s">
        <v>44</v>
      </c>
      <c r="C10" s="10" t="s">
        <v>39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84"/>
    </row>
    <row r="11" spans="1:20" x14ac:dyDescent="0.25">
      <c r="A11" s="50"/>
      <c r="B11" s="11" t="s">
        <v>45</v>
      </c>
      <c r="C11" s="10" t="s">
        <v>39</v>
      </c>
      <c r="D11" s="49">
        <v>20031.3</v>
      </c>
      <c r="E11" s="49">
        <v>20269.099999999999</v>
      </c>
      <c r="F11" s="49">
        <v>22378.9</v>
      </c>
      <c r="G11" s="49">
        <v>27381.963774998789</v>
      </c>
      <c r="H11" s="49"/>
      <c r="I11" s="49"/>
      <c r="J11" s="49"/>
      <c r="K11" s="49"/>
      <c r="L11" s="49">
        <v>35481.751307085484</v>
      </c>
      <c r="M11" s="49"/>
      <c r="N11" s="49"/>
      <c r="O11" s="49"/>
      <c r="P11" s="49"/>
      <c r="Q11" s="49">
        <v>43645.328003835755</v>
      </c>
      <c r="R11" s="49"/>
      <c r="S11" s="49"/>
      <c r="T11" s="85"/>
    </row>
    <row r="12" spans="1:20" s="48" customFormat="1" ht="30" x14ac:dyDescent="0.25">
      <c r="A12" s="15">
        <v>4</v>
      </c>
      <c r="B12" s="10" t="s">
        <v>46</v>
      </c>
      <c r="C12" s="10" t="s">
        <v>47</v>
      </c>
      <c r="D12" s="47">
        <v>3.8740000000000001</v>
      </c>
      <c r="E12" s="47">
        <v>3.819</v>
      </c>
      <c r="F12" s="47">
        <f>F4/F13</f>
        <v>3.8650980392156864</v>
      </c>
      <c r="G12" s="47">
        <v>3.831</v>
      </c>
      <c r="H12" s="47">
        <f>G12-(($G12-$L12)/5)</f>
        <v>3.8271999999999999</v>
      </c>
      <c r="I12" s="47">
        <f t="shared" ref="I12:K13" si="2">H12-(($G12-$L12)/5)</f>
        <v>3.8233999999999999</v>
      </c>
      <c r="J12" s="47">
        <f t="shared" si="2"/>
        <v>3.8195999999999999</v>
      </c>
      <c r="K12" s="47">
        <f t="shared" si="2"/>
        <v>3.8157999999999999</v>
      </c>
      <c r="L12" s="47">
        <v>3.8119999999999998</v>
      </c>
      <c r="M12" s="47">
        <f>L12-(($L12-$Q12)/5)</f>
        <v>3.8079999999999998</v>
      </c>
      <c r="N12" s="47">
        <f t="shared" ref="N12:P13" si="3">M12-(($L12-$Q12)/5)</f>
        <v>3.8039999999999998</v>
      </c>
      <c r="O12" s="47">
        <f t="shared" si="3"/>
        <v>3.8</v>
      </c>
      <c r="P12" s="47">
        <f t="shared" si="3"/>
        <v>3.7959999999999998</v>
      </c>
      <c r="Q12" s="47">
        <v>3.7919999999999998</v>
      </c>
      <c r="R12" s="51"/>
      <c r="S12" s="51"/>
      <c r="T12" s="2" t="s">
        <v>32</v>
      </c>
    </row>
    <row r="13" spans="1:20" s="48" customFormat="1" ht="30" x14ac:dyDescent="0.25">
      <c r="A13" s="15">
        <v>5</v>
      </c>
      <c r="B13" s="10" t="s">
        <v>48</v>
      </c>
      <c r="C13" s="10" t="s">
        <v>49</v>
      </c>
      <c r="D13" s="47">
        <v>2.6059999999999999</v>
      </c>
      <c r="E13" s="47">
        <v>2.6219999999999999</v>
      </c>
      <c r="F13" s="47">
        <v>2.5499999999999998</v>
      </c>
      <c r="G13" s="47">
        <v>2.54</v>
      </c>
      <c r="H13" s="47">
        <f>G13-(($G13-$L13)/5)</f>
        <v>2.536</v>
      </c>
      <c r="I13" s="47">
        <f t="shared" si="2"/>
        <v>2.532</v>
      </c>
      <c r="J13" s="47">
        <f t="shared" si="2"/>
        <v>2.528</v>
      </c>
      <c r="K13" s="47">
        <f t="shared" si="2"/>
        <v>2.524</v>
      </c>
      <c r="L13" s="47">
        <v>2.52</v>
      </c>
      <c r="M13" s="47">
        <f>L13-(($L13-$Q13)/5)</f>
        <v>2.516</v>
      </c>
      <c r="N13" s="47">
        <f t="shared" si="3"/>
        <v>2.512</v>
      </c>
      <c r="O13" s="47">
        <f t="shared" si="3"/>
        <v>2.508</v>
      </c>
      <c r="P13" s="47">
        <f t="shared" si="3"/>
        <v>2.504</v>
      </c>
      <c r="Q13" s="47">
        <v>2.5</v>
      </c>
      <c r="R13" s="51"/>
      <c r="S13" s="51"/>
      <c r="T13" s="2" t="s">
        <v>32</v>
      </c>
    </row>
    <row r="14" spans="1:20" x14ac:dyDescent="0.25">
      <c r="A14" s="15">
        <v>6</v>
      </c>
      <c r="B14" s="10" t="s">
        <v>50</v>
      </c>
      <c r="C14" s="10" t="s">
        <v>15</v>
      </c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</row>
    <row r="15" spans="1:20" ht="15" customHeight="1" x14ac:dyDescent="0.25">
      <c r="A15" s="15">
        <v>7</v>
      </c>
      <c r="B15" s="10" t="s">
        <v>51</v>
      </c>
      <c r="C15" s="10" t="s">
        <v>52</v>
      </c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83" t="s">
        <v>17</v>
      </c>
    </row>
    <row r="16" spans="1:20" ht="23.25" x14ac:dyDescent="0.25">
      <c r="A16" s="50"/>
      <c r="B16" s="12" t="s">
        <v>53</v>
      </c>
      <c r="C16" s="10" t="s">
        <v>52</v>
      </c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84"/>
    </row>
    <row r="17" spans="1:20" ht="23.25" x14ac:dyDescent="0.25">
      <c r="A17" s="50"/>
      <c r="B17" s="12" t="s">
        <v>54</v>
      </c>
      <c r="C17" s="10" t="s">
        <v>52</v>
      </c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84"/>
    </row>
    <row r="18" spans="1:20" ht="23.25" x14ac:dyDescent="0.25">
      <c r="A18" s="50"/>
      <c r="B18" s="12" t="s">
        <v>55</v>
      </c>
      <c r="C18" s="10" t="s">
        <v>52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84"/>
    </row>
    <row r="19" spans="1:20" ht="23.25" x14ac:dyDescent="0.25">
      <c r="A19" s="50"/>
      <c r="B19" s="12" t="s">
        <v>56</v>
      </c>
      <c r="C19" s="10" t="s">
        <v>52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84"/>
    </row>
    <row r="20" spans="1:20" ht="23.25" x14ac:dyDescent="0.25">
      <c r="A20" s="50"/>
      <c r="B20" s="12" t="s">
        <v>57</v>
      </c>
      <c r="C20" s="10" t="s">
        <v>52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84"/>
    </row>
    <row r="21" spans="1:20" ht="23.25" x14ac:dyDescent="0.25">
      <c r="A21" s="50"/>
      <c r="B21" s="12" t="s">
        <v>58</v>
      </c>
      <c r="C21" s="10" t="s">
        <v>52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84"/>
    </row>
    <row r="22" spans="1:20" ht="45.75" x14ac:dyDescent="0.25">
      <c r="A22" s="15">
        <v>8</v>
      </c>
      <c r="B22" s="13" t="s">
        <v>59</v>
      </c>
      <c r="C22" s="13" t="s">
        <v>60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84"/>
    </row>
    <row r="23" spans="1:20" x14ac:dyDescent="0.25">
      <c r="A23" s="50"/>
      <c r="B23" s="12" t="s">
        <v>61</v>
      </c>
      <c r="C23" s="13" t="s">
        <v>60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84"/>
    </row>
    <row r="24" spans="1:20" x14ac:dyDescent="0.25">
      <c r="A24" s="50"/>
      <c r="B24" s="12" t="s">
        <v>56</v>
      </c>
      <c r="C24" s="13" t="s">
        <v>60</v>
      </c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84"/>
    </row>
    <row r="25" spans="1:20" x14ac:dyDescent="0.25">
      <c r="A25" s="50"/>
      <c r="B25" s="12" t="s">
        <v>58</v>
      </c>
      <c r="C25" s="13" t="s">
        <v>60</v>
      </c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85"/>
    </row>
    <row r="26" spans="1:20" ht="23.25" x14ac:dyDescent="0.25">
      <c r="A26" s="15">
        <v>9</v>
      </c>
      <c r="B26" s="13" t="s">
        <v>62</v>
      </c>
      <c r="C26" s="13" t="s">
        <v>63</v>
      </c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</row>
    <row r="27" spans="1:20" x14ac:dyDescent="0.25">
      <c r="A27" s="50"/>
      <c r="B27" s="14" t="s">
        <v>64</v>
      </c>
      <c r="C27" s="13" t="s">
        <v>63</v>
      </c>
      <c r="D27" s="52">
        <v>350.17</v>
      </c>
      <c r="E27" s="52">
        <v>450.57</v>
      </c>
      <c r="F27" s="52">
        <v>353.28</v>
      </c>
      <c r="G27" s="52">
        <v>549.91999999999996</v>
      </c>
      <c r="H27" s="52">
        <v>577.16999999999996</v>
      </c>
      <c r="I27" s="52">
        <v>586.57000000000005</v>
      </c>
      <c r="J27" s="52">
        <v>604.75</v>
      </c>
      <c r="K27" s="52">
        <v>617.29</v>
      </c>
      <c r="L27" s="52">
        <v>624.24</v>
      </c>
      <c r="M27" s="52">
        <v>639.83000000000004</v>
      </c>
      <c r="N27" s="52">
        <v>653.91999999999996</v>
      </c>
      <c r="O27" s="52">
        <v>663.51</v>
      </c>
      <c r="P27" s="52">
        <v>678.55</v>
      </c>
      <c r="Q27" s="52">
        <v>687.67</v>
      </c>
      <c r="R27" s="49"/>
      <c r="S27" s="49"/>
      <c r="T27" s="15" t="s">
        <v>22</v>
      </c>
    </row>
    <row r="28" spans="1:20" x14ac:dyDescent="0.25">
      <c r="A28" s="50"/>
      <c r="B28" s="14" t="s">
        <v>65</v>
      </c>
      <c r="C28" s="13" t="s">
        <v>63</v>
      </c>
      <c r="D28" s="52">
        <v>234.15</v>
      </c>
      <c r="E28" s="52">
        <v>284.69</v>
      </c>
      <c r="F28" s="52">
        <v>284.44</v>
      </c>
      <c r="G28" s="52">
        <v>318.70440000000002</v>
      </c>
      <c r="H28" s="52">
        <v>331.00490000000002</v>
      </c>
      <c r="I28" s="52">
        <v>332.07530000000003</v>
      </c>
      <c r="J28" s="52">
        <v>337.4273</v>
      </c>
      <c r="K28" s="52">
        <v>341.66430000000003</v>
      </c>
      <c r="L28" s="52">
        <v>344.8073</v>
      </c>
      <c r="M28" s="52">
        <v>350.26600000000002</v>
      </c>
      <c r="N28" s="52">
        <v>355.3741</v>
      </c>
      <c r="O28" s="52">
        <v>361.04219999999998</v>
      </c>
      <c r="P28" s="52">
        <v>366.71679999999998</v>
      </c>
      <c r="Q28" s="52">
        <v>374.9778</v>
      </c>
      <c r="R28" s="49"/>
      <c r="S28" s="49"/>
      <c r="T28" s="15" t="s">
        <v>22</v>
      </c>
    </row>
    <row r="29" spans="1:20" x14ac:dyDescent="0.25">
      <c r="A29" s="50"/>
      <c r="B29" s="14" t="s">
        <v>66</v>
      </c>
      <c r="C29" s="13" t="s">
        <v>63</v>
      </c>
      <c r="D29" s="52">
        <v>98.74</v>
      </c>
      <c r="E29" s="52">
        <v>120.4</v>
      </c>
      <c r="F29" s="52">
        <v>84.11</v>
      </c>
      <c r="G29" s="52">
        <v>104.88</v>
      </c>
      <c r="H29" s="52">
        <v>110.94</v>
      </c>
      <c r="I29" s="52">
        <v>114.29</v>
      </c>
      <c r="J29" s="52">
        <v>117.44</v>
      </c>
      <c r="K29" s="52">
        <v>121.34</v>
      </c>
      <c r="L29" s="52">
        <v>125.32</v>
      </c>
      <c r="M29" s="52">
        <v>130.12</v>
      </c>
      <c r="N29" s="52">
        <v>134.91</v>
      </c>
      <c r="O29" s="52">
        <v>139.87</v>
      </c>
      <c r="P29" s="52">
        <v>144.88</v>
      </c>
      <c r="Q29" s="52">
        <v>150.4</v>
      </c>
      <c r="R29" s="49"/>
      <c r="S29" s="49"/>
      <c r="T29" s="15" t="s">
        <v>22</v>
      </c>
    </row>
    <row r="30" spans="1:20" ht="23.25" x14ac:dyDescent="0.25">
      <c r="A30" s="15">
        <v>10</v>
      </c>
      <c r="B30" s="13" t="s">
        <v>67</v>
      </c>
      <c r="C30" s="13" t="s">
        <v>68</v>
      </c>
      <c r="D30" s="52">
        <v>0</v>
      </c>
      <c r="E30" s="52">
        <v>11.2</v>
      </c>
      <c r="F30" s="52">
        <v>7.64</v>
      </c>
      <c r="G30" s="52">
        <v>27.7</v>
      </c>
      <c r="H30" s="52">
        <v>32.799999999999997</v>
      </c>
      <c r="I30" s="52">
        <v>37</v>
      </c>
      <c r="J30" s="52">
        <v>40.4</v>
      </c>
      <c r="K30" s="52">
        <v>38.799999999999997</v>
      </c>
      <c r="L30" s="52">
        <v>36.299999999999997</v>
      </c>
      <c r="M30" s="52">
        <v>30.9</v>
      </c>
      <c r="N30" s="52">
        <v>26.4</v>
      </c>
      <c r="O30" s="52">
        <v>22.4</v>
      </c>
      <c r="P30" s="52">
        <v>18.8</v>
      </c>
      <c r="Q30" s="52">
        <v>15.2</v>
      </c>
      <c r="R30" s="49"/>
      <c r="S30" s="49"/>
      <c r="T30" s="15" t="s">
        <v>23</v>
      </c>
    </row>
    <row r="31" spans="1:20" ht="23.25" x14ac:dyDescent="0.25">
      <c r="A31" s="15">
        <v>11</v>
      </c>
      <c r="B31" s="13" t="s">
        <v>69</v>
      </c>
      <c r="C31" s="13" t="s">
        <v>70</v>
      </c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2" t="s">
        <v>24</v>
      </c>
    </row>
    <row r="32" spans="1:20" s="48" customFormat="1" ht="30" x14ac:dyDescent="0.25">
      <c r="A32" s="15">
        <v>12</v>
      </c>
      <c r="B32" s="13" t="s">
        <v>71</v>
      </c>
      <c r="C32" s="13"/>
      <c r="D32" s="51">
        <v>3044</v>
      </c>
      <c r="E32" s="51">
        <v>2951</v>
      </c>
      <c r="F32" s="51">
        <v>2593</v>
      </c>
      <c r="G32" s="51">
        <v>2668</v>
      </c>
      <c r="H32" s="51">
        <v>2668</v>
      </c>
      <c r="I32" s="51">
        <v>2668</v>
      </c>
      <c r="J32" s="51">
        <v>2668</v>
      </c>
      <c r="K32" s="51">
        <v>2668</v>
      </c>
      <c r="L32" s="51">
        <v>2668</v>
      </c>
      <c r="M32" s="51">
        <v>2668</v>
      </c>
      <c r="N32" s="51">
        <v>2668</v>
      </c>
      <c r="O32" s="51">
        <v>2668</v>
      </c>
      <c r="P32" s="51">
        <v>2668</v>
      </c>
      <c r="Q32" s="51">
        <v>2668</v>
      </c>
      <c r="R32" s="51"/>
      <c r="S32" s="51"/>
      <c r="T32" s="16" t="s">
        <v>25</v>
      </c>
    </row>
    <row r="33" spans="1:20" s="48" customFormat="1" ht="30" x14ac:dyDescent="0.25">
      <c r="A33" s="15">
        <v>13</v>
      </c>
      <c r="B33" s="13" t="s">
        <v>72</v>
      </c>
      <c r="C33" s="13"/>
      <c r="D33" s="51">
        <v>41.86</v>
      </c>
      <c r="E33" s="51">
        <v>97.49</v>
      </c>
      <c r="F33" s="51">
        <v>195.84</v>
      </c>
      <c r="G33" s="51">
        <v>107.7</v>
      </c>
      <c r="H33" s="51">
        <v>107.7</v>
      </c>
      <c r="I33" s="51">
        <v>107.7</v>
      </c>
      <c r="J33" s="51">
        <v>107.7</v>
      </c>
      <c r="K33" s="51">
        <v>107.7</v>
      </c>
      <c r="L33" s="51">
        <v>107.7</v>
      </c>
      <c r="M33" s="51">
        <v>107.7</v>
      </c>
      <c r="N33" s="51">
        <v>107.7</v>
      </c>
      <c r="O33" s="51">
        <v>107.7</v>
      </c>
      <c r="P33" s="51">
        <v>107.7</v>
      </c>
      <c r="Q33" s="51">
        <v>107.7</v>
      </c>
      <c r="R33" s="51"/>
      <c r="S33" s="51"/>
      <c r="T33" s="16" t="s">
        <v>26</v>
      </c>
    </row>
    <row r="34" spans="1:20" ht="23.25" x14ac:dyDescent="0.25">
      <c r="A34" s="15">
        <v>14</v>
      </c>
      <c r="B34" s="13" t="s">
        <v>73</v>
      </c>
      <c r="C34" s="13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</row>
    <row r="35" spans="1:20" x14ac:dyDescent="0.25">
      <c r="A35" s="50"/>
      <c r="B35" s="17"/>
      <c r="C35" s="17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</row>
    <row r="36" spans="1:20" ht="15.75" x14ac:dyDescent="0.25">
      <c r="A36" s="79" t="s">
        <v>74</v>
      </c>
      <c r="B36" s="79"/>
      <c r="C36" s="18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</row>
    <row r="37" spans="1:20" ht="15.75" x14ac:dyDescent="0.25">
      <c r="A37" s="86" t="s">
        <v>75</v>
      </c>
      <c r="B37" s="86"/>
      <c r="C37" s="53"/>
      <c r="D37" s="3">
        <v>2005</v>
      </c>
      <c r="E37" s="3">
        <v>2010</v>
      </c>
      <c r="F37" s="3">
        <v>2015</v>
      </c>
      <c r="G37" s="3">
        <v>2020</v>
      </c>
      <c r="H37" s="3">
        <v>2021</v>
      </c>
      <c r="I37" s="3">
        <v>2022</v>
      </c>
      <c r="J37" s="3">
        <v>2023</v>
      </c>
      <c r="K37" s="3">
        <v>2024</v>
      </c>
      <c r="L37" s="3">
        <v>2025</v>
      </c>
      <c r="M37" s="3">
        <v>2026</v>
      </c>
      <c r="N37" s="3">
        <v>2027</v>
      </c>
      <c r="O37" s="3">
        <v>2028</v>
      </c>
      <c r="P37" s="3">
        <v>2029</v>
      </c>
      <c r="Q37" s="3">
        <v>2030</v>
      </c>
      <c r="R37" s="49"/>
      <c r="S37" s="49"/>
      <c r="T37" s="49"/>
    </row>
    <row r="38" spans="1:20" ht="23.25" x14ac:dyDescent="0.25">
      <c r="A38" s="15">
        <v>1</v>
      </c>
      <c r="B38" s="10" t="s">
        <v>76</v>
      </c>
      <c r="C38" s="10" t="s">
        <v>10</v>
      </c>
      <c r="D38" s="49">
        <v>10808.4</v>
      </c>
      <c r="E38" s="49">
        <v>11802.2</v>
      </c>
      <c r="F38" s="49">
        <v>11196.3</v>
      </c>
      <c r="G38" s="49">
        <f>SUM(G39:G43)</f>
        <v>11081.184730524505</v>
      </c>
      <c r="H38" s="49"/>
      <c r="I38" s="49"/>
      <c r="J38" s="49"/>
      <c r="K38" s="49"/>
      <c r="L38" s="49">
        <f>SUM(L39:L43)</f>
        <v>10487.165575924333</v>
      </c>
      <c r="M38" s="49"/>
      <c r="N38" s="49"/>
      <c r="O38" s="49"/>
      <c r="P38" s="49"/>
      <c r="Q38" s="49">
        <f>SUM(Q39:Q43)</f>
        <v>13974.364476354256</v>
      </c>
      <c r="R38" s="49"/>
      <c r="S38" s="49"/>
      <c r="T38" s="49"/>
    </row>
    <row r="39" spans="1:20" x14ac:dyDescent="0.25">
      <c r="A39" s="50"/>
      <c r="B39" s="12" t="s">
        <v>77</v>
      </c>
      <c r="C39" s="19" t="s">
        <v>10</v>
      </c>
      <c r="D39" s="49">
        <v>1748.1</v>
      </c>
      <c r="E39" s="49">
        <v>1593.3</v>
      </c>
      <c r="F39" s="49">
        <v>1518.3</v>
      </c>
      <c r="G39" s="49">
        <f>G94</f>
        <v>1412.8</v>
      </c>
      <c r="H39" s="49"/>
      <c r="I39" s="49"/>
      <c r="J39" s="49"/>
      <c r="K39" s="49"/>
      <c r="L39" s="49">
        <f t="shared" ref="L39" si="4">L94</f>
        <v>685</v>
      </c>
      <c r="M39" s="49"/>
      <c r="N39" s="49"/>
      <c r="O39" s="49"/>
      <c r="P39" s="49"/>
      <c r="Q39" s="49">
        <v>30</v>
      </c>
      <c r="R39" s="49"/>
      <c r="S39" s="49"/>
      <c r="T39" s="49"/>
    </row>
    <row r="40" spans="1:20" x14ac:dyDescent="0.25">
      <c r="A40" s="50"/>
      <c r="B40" s="12" t="s">
        <v>64</v>
      </c>
      <c r="C40" s="19" t="s">
        <v>10</v>
      </c>
      <c r="D40" s="49">
        <v>1393.2</v>
      </c>
      <c r="E40" s="49">
        <v>1064.3</v>
      </c>
      <c r="F40" s="49">
        <v>850.1</v>
      </c>
      <c r="G40" s="49">
        <v>703.56600000000003</v>
      </c>
      <c r="H40" s="49"/>
      <c r="I40" s="49"/>
      <c r="J40" s="49"/>
      <c r="K40" s="49"/>
      <c r="L40" s="49">
        <v>420.53899999999999</v>
      </c>
      <c r="M40" s="49"/>
      <c r="N40" s="49"/>
      <c r="O40" s="49"/>
      <c r="P40" s="49"/>
      <c r="Q40" s="49">
        <v>229.24800000000002</v>
      </c>
      <c r="R40" s="49"/>
      <c r="S40" s="49"/>
      <c r="T40" s="49"/>
    </row>
    <row r="41" spans="1:20" x14ac:dyDescent="0.25">
      <c r="A41" s="50"/>
      <c r="B41" s="12" t="s">
        <v>78</v>
      </c>
      <c r="C41" s="19" t="s">
        <v>10</v>
      </c>
      <c r="D41" s="49">
        <v>2330.6999999999998</v>
      </c>
      <c r="E41" s="49">
        <v>2234.9</v>
      </c>
      <c r="F41" s="49">
        <v>1369</v>
      </c>
      <c r="G41" s="49">
        <v>926.81873052450408</v>
      </c>
      <c r="H41" s="49"/>
      <c r="I41" s="49"/>
      <c r="J41" s="49"/>
      <c r="K41" s="49"/>
      <c r="L41" s="49">
        <v>884.62657592433197</v>
      </c>
      <c r="M41" s="49"/>
      <c r="N41" s="49"/>
      <c r="O41" s="49"/>
      <c r="P41" s="49"/>
      <c r="Q41" s="49">
        <v>292.11647635425572</v>
      </c>
      <c r="R41" s="49"/>
      <c r="S41" s="49"/>
      <c r="T41" s="49"/>
    </row>
    <row r="42" spans="1:20" x14ac:dyDescent="0.25">
      <c r="A42" s="50"/>
      <c r="B42" s="12" t="s">
        <v>79</v>
      </c>
      <c r="C42" s="19" t="s">
        <v>10</v>
      </c>
      <c r="D42" s="49">
        <v>3584.5</v>
      </c>
      <c r="E42" s="49">
        <v>4077.6</v>
      </c>
      <c r="F42" s="49">
        <v>4103.6000000000004</v>
      </c>
      <c r="G42" s="49">
        <f>G59</f>
        <v>4281</v>
      </c>
      <c r="H42" s="49"/>
      <c r="I42" s="49"/>
      <c r="J42" s="49"/>
      <c r="K42" s="49"/>
      <c r="L42" s="49">
        <f>L59</f>
        <v>4281</v>
      </c>
      <c r="M42" s="49"/>
      <c r="N42" s="49"/>
      <c r="O42" s="49"/>
      <c r="P42" s="49"/>
      <c r="Q42" s="49">
        <f>Q59</f>
        <v>8680</v>
      </c>
      <c r="R42" s="49"/>
      <c r="S42" s="49"/>
      <c r="T42" s="49"/>
    </row>
    <row r="43" spans="1:20" s="48" customFormat="1" ht="30" x14ac:dyDescent="0.25">
      <c r="A43" s="50"/>
      <c r="B43" s="12" t="s">
        <v>80</v>
      </c>
      <c r="C43" s="19" t="s">
        <v>10</v>
      </c>
      <c r="D43" s="51">
        <v>1751.9</v>
      </c>
      <c r="E43" s="51">
        <v>2832.1</v>
      </c>
      <c r="F43" s="51">
        <v>3355.3</v>
      </c>
      <c r="G43" s="51">
        <f>G61+G62+206</f>
        <v>3757</v>
      </c>
      <c r="H43" s="51"/>
      <c r="I43" s="51"/>
      <c r="J43" s="51"/>
      <c r="K43" s="51"/>
      <c r="L43" s="51">
        <f>L61+L62+206</f>
        <v>4216</v>
      </c>
      <c r="M43" s="51"/>
      <c r="N43" s="51"/>
      <c r="O43" s="51"/>
      <c r="P43" s="51"/>
      <c r="Q43" s="51">
        <f>Q61+Q62+206</f>
        <v>4743</v>
      </c>
      <c r="R43" s="51"/>
      <c r="S43" s="51"/>
      <c r="T43" s="16" t="s">
        <v>27</v>
      </c>
    </row>
    <row r="44" spans="1:20" ht="34.5" x14ac:dyDescent="0.25">
      <c r="A44" s="15">
        <v>2</v>
      </c>
      <c r="B44" s="10" t="s">
        <v>81</v>
      </c>
      <c r="C44" s="10" t="s">
        <v>10</v>
      </c>
      <c r="D44" s="49">
        <f>D45+D46+D47+D48</f>
        <v>17420.8</v>
      </c>
      <c r="E44" s="49">
        <f t="shared" ref="E44:F44" si="5">E45+E46+E47+E48</f>
        <v>14960.7</v>
      </c>
      <c r="F44" s="49">
        <f t="shared" si="5"/>
        <v>13630.4</v>
      </c>
      <c r="G44" s="49">
        <f>SUM(G45:G48)</f>
        <v>16002.815269475497</v>
      </c>
      <c r="H44" s="49"/>
      <c r="I44" s="49"/>
      <c r="J44" s="49"/>
      <c r="K44" s="49"/>
      <c r="L44" s="49">
        <f>SUM(L45:L48)</f>
        <v>16613.834424075667</v>
      </c>
      <c r="M44" s="49"/>
      <c r="N44" s="49"/>
      <c r="O44" s="49"/>
      <c r="P44" s="49"/>
      <c r="Q44" s="49">
        <f>SUM(Q45:Q48)</f>
        <v>16233.635523645746</v>
      </c>
      <c r="R44" s="49"/>
      <c r="S44" s="49"/>
      <c r="T44" s="49"/>
    </row>
    <row r="45" spans="1:20" x14ac:dyDescent="0.25">
      <c r="A45" s="50"/>
      <c r="B45" s="12" t="s">
        <v>77</v>
      </c>
      <c r="C45" s="19" t="s">
        <v>10</v>
      </c>
      <c r="D45" s="49">
        <v>1298.8</v>
      </c>
      <c r="E45" s="49">
        <v>1143.0999999999999</v>
      </c>
      <c r="F45" s="49">
        <v>802.9</v>
      </c>
      <c r="G45" s="49">
        <f>G56-G39</f>
        <v>903.2</v>
      </c>
      <c r="H45" s="49"/>
      <c r="I45" s="49"/>
      <c r="J45" s="49"/>
      <c r="K45" s="49"/>
      <c r="L45" s="49">
        <f>L56-L39</f>
        <v>791</v>
      </c>
      <c r="M45" s="49"/>
      <c r="N45" s="49"/>
      <c r="O45" s="49"/>
      <c r="P45" s="49"/>
      <c r="Q45" s="49">
        <f>Q56-Q39</f>
        <v>623</v>
      </c>
      <c r="R45" s="49"/>
      <c r="S45" s="49"/>
      <c r="T45" s="49"/>
    </row>
    <row r="46" spans="1:20" x14ac:dyDescent="0.25">
      <c r="A46" s="50"/>
      <c r="B46" s="12" t="s">
        <v>64</v>
      </c>
      <c r="C46" s="19" t="s">
        <v>10</v>
      </c>
      <c r="D46" s="49">
        <v>5779.5</v>
      </c>
      <c r="E46" s="49">
        <v>5644.3</v>
      </c>
      <c r="F46" s="49">
        <v>6432.1</v>
      </c>
      <c r="G46" s="49">
        <f>G57-G40</f>
        <v>6883.4340000000002</v>
      </c>
      <c r="H46" s="49"/>
      <c r="I46" s="49"/>
      <c r="J46" s="49"/>
      <c r="K46" s="49"/>
      <c r="L46" s="49">
        <f>L57-L40</f>
        <v>7863.4610000000002</v>
      </c>
      <c r="M46" s="49"/>
      <c r="N46" s="49"/>
      <c r="O46" s="49"/>
      <c r="P46" s="49"/>
      <c r="Q46" s="49">
        <f>Q57-Q40</f>
        <v>8815.7520000000004</v>
      </c>
      <c r="R46" s="49"/>
      <c r="S46" s="49"/>
      <c r="T46" s="49"/>
    </row>
    <row r="47" spans="1:20" x14ac:dyDescent="0.25">
      <c r="A47" s="50"/>
      <c r="B47" s="12" t="s">
        <v>78</v>
      </c>
      <c r="C47" s="19" t="s">
        <v>10</v>
      </c>
      <c r="D47" s="49">
        <v>9807.5</v>
      </c>
      <c r="E47" s="49">
        <v>7726.3</v>
      </c>
      <c r="F47" s="49">
        <v>5218.3999999999996</v>
      </c>
      <c r="G47" s="49">
        <f>G58-G41</f>
        <v>7055.1812694754963</v>
      </c>
      <c r="H47" s="49"/>
      <c r="I47" s="49"/>
      <c r="J47" s="49"/>
      <c r="K47" s="49"/>
      <c r="L47" s="49">
        <f>L58-L41</f>
        <v>7015.3734240756676</v>
      </c>
      <c r="M47" s="49"/>
      <c r="N47" s="49"/>
      <c r="O47" s="49"/>
      <c r="P47" s="49"/>
      <c r="Q47" s="49">
        <f>Q58-Q41</f>
        <v>6989.8835236457444</v>
      </c>
      <c r="R47" s="49"/>
      <c r="S47" s="49"/>
      <c r="T47" s="54"/>
    </row>
    <row r="48" spans="1:20" x14ac:dyDescent="0.25">
      <c r="A48" s="50"/>
      <c r="B48" s="12" t="s">
        <v>82</v>
      </c>
      <c r="C48" s="19" t="s">
        <v>10</v>
      </c>
      <c r="D48" s="49">
        <v>535</v>
      </c>
      <c r="E48" s="49">
        <v>447</v>
      </c>
      <c r="F48" s="49">
        <v>1177</v>
      </c>
      <c r="G48" s="49">
        <v>1161</v>
      </c>
      <c r="H48" s="49"/>
      <c r="I48" s="49"/>
      <c r="J48" s="49"/>
      <c r="K48" s="49"/>
      <c r="L48" s="49">
        <v>944</v>
      </c>
      <c r="M48" s="49"/>
      <c r="N48" s="49"/>
      <c r="O48" s="49"/>
      <c r="P48" s="49"/>
      <c r="Q48" s="49">
        <v>-195</v>
      </c>
      <c r="R48" s="49"/>
      <c r="S48" s="49"/>
      <c r="T48" s="49"/>
    </row>
    <row r="49" spans="1:20" x14ac:dyDescent="0.25">
      <c r="A49" s="15">
        <v>3</v>
      </c>
      <c r="B49" s="10" t="s">
        <v>83</v>
      </c>
      <c r="C49" s="10" t="s">
        <v>11</v>
      </c>
      <c r="D49" s="55">
        <f>1-(D38/D55)</f>
        <v>0.61552225214233114</v>
      </c>
      <c r="E49" s="55">
        <f t="shared" ref="E49:F49" si="6">1-(E38/E55)</f>
        <v>0.55629325804256524</v>
      </c>
      <c r="F49" s="55">
        <f t="shared" si="6"/>
        <v>0.55542010800508268</v>
      </c>
      <c r="G49" s="55">
        <f>1-(G38/G55)</f>
        <v>0.58772286886953995</v>
      </c>
      <c r="H49" s="49"/>
      <c r="I49" s="49"/>
      <c r="J49" s="49"/>
      <c r="K49" s="49"/>
      <c r="L49" s="55">
        <f>1-(L38/L55)</f>
        <v>0.61007006596302915</v>
      </c>
      <c r="M49" s="49"/>
      <c r="N49" s="49"/>
      <c r="O49" s="49"/>
      <c r="P49" s="49"/>
      <c r="Q49" s="55">
        <f>1-(Q38/Q55)</f>
        <v>0.534218902861334</v>
      </c>
      <c r="R49" s="49"/>
      <c r="S49" s="49"/>
      <c r="T49" s="49"/>
    </row>
    <row r="50" spans="1:20" ht="23.25" x14ac:dyDescent="0.25">
      <c r="A50" s="15">
        <v>4</v>
      </c>
      <c r="B50" s="13" t="s">
        <v>84</v>
      </c>
      <c r="C50" s="13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</row>
    <row r="51" spans="1:20" ht="23.25" x14ac:dyDescent="0.25">
      <c r="A51" s="15"/>
      <c r="B51" s="13" t="s">
        <v>85</v>
      </c>
      <c r="C51" s="13" t="s">
        <v>86</v>
      </c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</row>
    <row r="52" spans="1:20" ht="23.25" x14ac:dyDescent="0.25">
      <c r="A52" s="50"/>
      <c r="B52" s="13" t="s">
        <v>87</v>
      </c>
      <c r="C52" s="13" t="s">
        <v>86</v>
      </c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</row>
    <row r="53" spans="1:20" ht="23.25" x14ac:dyDescent="0.25">
      <c r="A53" s="50"/>
      <c r="B53" s="13" t="s">
        <v>88</v>
      </c>
      <c r="C53" s="13" t="s">
        <v>86</v>
      </c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</row>
    <row r="54" spans="1:20" ht="23.25" x14ac:dyDescent="0.25">
      <c r="A54" s="50"/>
      <c r="B54" s="13" t="s">
        <v>89</v>
      </c>
      <c r="C54" s="13" t="s">
        <v>86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</row>
    <row r="55" spans="1:20" ht="45.75" x14ac:dyDescent="0.25">
      <c r="A55" s="15">
        <v>5</v>
      </c>
      <c r="B55" s="13" t="s">
        <v>90</v>
      </c>
      <c r="C55" s="13" t="s">
        <v>10</v>
      </c>
      <c r="D55" s="1">
        <v>28111.9</v>
      </c>
      <c r="E55" s="1">
        <v>26599.1</v>
      </c>
      <c r="F55" s="1">
        <v>25184</v>
      </c>
      <c r="G55" s="49">
        <f>SUM(G56:G62)</f>
        <v>26878</v>
      </c>
      <c r="H55" s="49"/>
      <c r="I55" s="49"/>
      <c r="J55" s="49"/>
      <c r="K55" s="49"/>
      <c r="L55" s="49">
        <f>SUM(L56:L62)</f>
        <v>26895</v>
      </c>
      <c r="M55" s="49"/>
      <c r="N55" s="49"/>
      <c r="O55" s="49"/>
      <c r="P55" s="49"/>
      <c r="Q55" s="49">
        <f>SUM(Q56:Q62)</f>
        <v>30002</v>
      </c>
      <c r="R55" s="49"/>
      <c r="S55" s="49"/>
      <c r="T55" s="49"/>
    </row>
    <row r="56" spans="1:20" x14ac:dyDescent="0.25">
      <c r="A56" s="50"/>
      <c r="B56" s="14" t="s">
        <v>77</v>
      </c>
      <c r="C56" s="17" t="s">
        <v>10</v>
      </c>
      <c r="D56" s="1">
        <v>3031.2</v>
      </c>
      <c r="E56" s="1">
        <v>2730.3</v>
      </c>
      <c r="F56" s="1">
        <v>2363.1</v>
      </c>
      <c r="G56" s="49">
        <v>2316</v>
      </c>
      <c r="H56" s="49"/>
      <c r="I56" s="49"/>
      <c r="J56" s="49"/>
      <c r="K56" s="49"/>
      <c r="L56" s="49">
        <v>1476</v>
      </c>
      <c r="M56" s="49"/>
      <c r="N56" s="49"/>
      <c r="O56" s="49"/>
      <c r="P56" s="49"/>
      <c r="Q56" s="49">
        <v>653</v>
      </c>
      <c r="R56" s="49"/>
      <c r="S56" s="49"/>
      <c r="T56" s="49"/>
    </row>
    <row r="57" spans="1:20" s="48" customFormat="1" ht="30" x14ac:dyDescent="0.25">
      <c r="A57" s="50"/>
      <c r="B57" s="14" t="s">
        <v>64</v>
      </c>
      <c r="C57" s="17" t="s">
        <v>10</v>
      </c>
      <c r="D57" s="4">
        <v>7114.9</v>
      </c>
      <c r="E57" s="4">
        <v>6664.9</v>
      </c>
      <c r="F57" s="4">
        <v>6901.2</v>
      </c>
      <c r="G57" s="51">
        <v>7587</v>
      </c>
      <c r="H57" s="51"/>
      <c r="I57" s="51"/>
      <c r="J57" s="51"/>
      <c r="K57" s="51"/>
      <c r="L57" s="51">
        <v>8284</v>
      </c>
      <c r="M57" s="51"/>
      <c r="N57" s="51"/>
      <c r="O57" s="51"/>
      <c r="P57" s="51"/>
      <c r="Q57" s="51">
        <v>9045</v>
      </c>
      <c r="R57" s="51"/>
      <c r="S57" s="51"/>
      <c r="T57" s="2" t="s">
        <v>33</v>
      </c>
    </row>
    <row r="58" spans="1:20" s="48" customFormat="1" x14ac:dyDescent="0.25">
      <c r="A58" s="50"/>
      <c r="B58" s="14" t="s">
        <v>78</v>
      </c>
      <c r="C58" s="17" t="s">
        <v>10</v>
      </c>
      <c r="D58" s="4">
        <v>12093.9</v>
      </c>
      <c r="E58" s="4">
        <v>9815.5</v>
      </c>
      <c r="F58" s="4">
        <v>7489.9</v>
      </c>
      <c r="G58" s="51">
        <v>7982</v>
      </c>
      <c r="H58" s="51"/>
      <c r="I58" s="51"/>
      <c r="J58" s="51"/>
      <c r="K58" s="51"/>
      <c r="L58" s="51">
        <v>7900</v>
      </c>
      <c r="M58" s="51"/>
      <c r="N58" s="51"/>
      <c r="O58" s="51"/>
      <c r="P58" s="51"/>
      <c r="Q58" s="51">
        <v>7282</v>
      </c>
      <c r="R58" s="51"/>
      <c r="S58" s="51"/>
    </row>
    <row r="59" spans="1:20" x14ac:dyDescent="0.25">
      <c r="A59" s="50"/>
      <c r="B59" s="14" t="s">
        <v>79</v>
      </c>
      <c r="C59" s="17" t="s">
        <v>10</v>
      </c>
      <c r="D59" s="1">
        <v>3584.5</v>
      </c>
      <c r="E59" s="1">
        <v>4077.6</v>
      </c>
      <c r="F59" s="1">
        <v>4103.6000000000004</v>
      </c>
      <c r="G59" s="49">
        <v>4281</v>
      </c>
      <c r="H59" s="49"/>
      <c r="I59" s="49"/>
      <c r="J59" s="49"/>
      <c r="K59" s="49"/>
      <c r="L59" s="49">
        <v>4281</v>
      </c>
      <c r="M59" s="49"/>
      <c r="N59" s="49"/>
      <c r="O59" s="49"/>
      <c r="P59" s="49"/>
      <c r="Q59" s="49">
        <v>8680</v>
      </c>
      <c r="R59" s="49"/>
      <c r="S59" s="49"/>
      <c r="T59" s="49"/>
    </row>
    <row r="60" spans="1:20" x14ac:dyDescent="0.25">
      <c r="A60" s="50"/>
      <c r="B60" s="14" t="s">
        <v>91</v>
      </c>
      <c r="C60" s="17" t="s">
        <v>10</v>
      </c>
      <c r="D60" s="1">
        <v>535.4</v>
      </c>
      <c r="E60" s="1">
        <v>446.7</v>
      </c>
      <c r="F60" s="1">
        <v>1176.8</v>
      </c>
      <c r="G60" s="49">
        <v>1161</v>
      </c>
      <c r="H60" s="49"/>
      <c r="I60" s="49"/>
      <c r="J60" s="49"/>
      <c r="K60" s="49"/>
      <c r="L60" s="49">
        <v>944</v>
      </c>
      <c r="M60" s="49"/>
      <c r="N60" s="49"/>
      <c r="O60" s="49"/>
      <c r="P60" s="49"/>
      <c r="Q60" s="49">
        <v>-195</v>
      </c>
      <c r="R60" s="49"/>
      <c r="S60" s="49"/>
      <c r="T60" s="49"/>
    </row>
    <row r="61" spans="1:20" x14ac:dyDescent="0.25">
      <c r="A61" s="50"/>
      <c r="B61" s="14" t="s">
        <v>80</v>
      </c>
      <c r="C61" s="17" t="s">
        <v>10</v>
      </c>
      <c r="D61" s="1">
        <v>1689.5</v>
      </c>
      <c r="E61" s="1">
        <v>2776.3</v>
      </c>
      <c r="F61" s="1">
        <v>3017.2</v>
      </c>
      <c r="G61" s="49">
        <v>3382</v>
      </c>
      <c r="H61" s="49"/>
      <c r="I61" s="49"/>
      <c r="J61" s="49"/>
      <c r="K61" s="49"/>
      <c r="L61" s="49">
        <v>3810</v>
      </c>
      <c r="M61" s="49"/>
      <c r="N61" s="49"/>
      <c r="O61" s="49"/>
      <c r="P61" s="49"/>
      <c r="Q61" s="49">
        <v>4237</v>
      </c>
      <c r="R61" s="49"/>
      <c r="S61" s="49"/>
      <c r="T61" s="49"/>
    </row>
    <row r="62" spans="1:20" x14ac:dyDescent="0.25">
      <c r="A62" s="50"/>
      <c r="B62" s="56" t="s">
        <v>92</v>
      </c>
      <c r="C62" s="17" t="s">
        <v>10</v>
      </c>
      <c r="D62" s="1">
        <v>62.4</v>
      </c>
      <c r="E62" s="1">
        <v>87.8</v>
      </c>
      <c r="F62" s="1">
        <v>132.30000000000001</v>
      </c>
      <c r="G62" s="49">
        <v>169</v>
      </c>
      <c r="H62" s="49"/>
      <c r="I62" s="49"/>
      <c r="J62" s="49"/>
      <c r="K62" s="49"/>
      <c r="L62" s="49">
        <v>200</v>
      </c>
      <c r="M62" s="49"/>
      <c r="N62" s="49"/>
      <c r="O62" s="49"/>
      <c r="P62" s="49"/>
      <c r="Q62" s="49">
        <v>300</v>
      </c>
      <c r="R62" s="49"/>
      <c r="S62" s="49"/>
      <c r="T62" s="49"/>
    </row>
    <row r="63" spans="1:20" ht="15.75" x14ac:dyDescent="0.25">
      <c r="A63" s="87" t="s">
        <v>93</v>
      </c>
      <c r="B63" s="87"/>
      <c r="C63" s="20"/>
      <c r="D63" s="3">
        <v>2005</v>
      </c>
      <c r="E63" s="3">
        <v>2010</v>
      </c>
      <c r="F63" s="3">
        <v>2015</v>
      </c>
      <c r="G63" s="3">
        <v>2020</v>
      </c>
      <c r="H63" s="3">
        <v>2021</v>
      </c>
      <c r="I63" s="3">
        <v>2022</v>
      </c>
      <c r="J63" s="3">
        <v>2023</v>
      </c>
      <c r="K63" s="3">
        <v>2024</v>
      </c>
      <c r="L63" s="3">
        <v>2025</v>
      </c>
      <c r="M63" s="3">
        <v>2026</v>
      </c>
      <c r="N63" s="3">
        <v>2027</v>
      </c>
      <c r="O63" s="3">
        <v>2028</v>
      </c>
      <c r="P63" s="3">
        <v>2029</v>
      </c>
      <c r="Q63" s="49">
        <v>2030</v>
      </c>
      <c r="R63" s="49"/>
      <c r="S63" s="49"/>
      <c r="T63" s="49"/>
    </row>
    <row r="64" spans="1:20" x14ac:dyDescent="0.25">
      <c r="A64" s="15">
        <v>1</v>
      </c>
      <c r="B64" s="10" t="s">
        <v>94</v>
      </c>
      <c r="C64" s="10" t="s">
        <v>95</v>
      </c>
      <c r="D64" s="49">
        <f>SUM(D66:D75)</f>
        <v>35816</v>
      </c>
      <c r="E64" s="49">
        <f t="shared" ref="E64:L64" si="7">SUM(E66:E75)</f>
        <v>37358</v>
      </c>
      <c r="F64" s="49">
        <f t="shared" si="7"/>
        <v>30226</v>
      </c>
      <c r="G64" s="49">
        <f t="shared" si="7"/>
        <v>32924</v>
      </c>
      <c r="H64" s="49"/>
      <c r="I64" s="49"/>
      <c r="J64" s="49"/>
      <c r="K64" s="49"/>
      <c r="L64" s="49">
        <f t="shared" si="7"/>
        <v>36467</v>
      </c>
      <c r="M64" s="49"/>
      <c r="N64" s="49"/>
      <c r="O64" s="49"/>
      <c r="P64" s="49"/>
      <c r="Q64" s="49">
        <f>SUM(Q66:Q75)</f>
        <v>53524</v>
      </c>
      <c r="R64" s="49"/>
      <c r="S64" s="49"/>
      <c r="T64" s="49"/>
    </row>
    <row r="65" spans="1:20" ht="23.25" x14ac:dyDescent="0.25">
      <c r="A65" s="15">
        <v>2</v>
      </c>
      <c r="B65" s="10" t="s">
        <v>96</v>
      </c>
      <c r="C65" s="10" t="s">
        <v>95</v>
      </c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</row>
    <row r="66" spans="1:20" x14ac:dyDescent="0.25">
      <c r="A66" s="50"/>
      <c r="B66" s="12" t="s">
        <v>79</v>
      </c>
      <c r="C66" s="19" t="s">
        <v>95</v>
      </c>
      <c r="D66" s="49">
        <v>13834</v>
      </c>
      <c r="E66" s="49">
        <v>15761</v>
      </c>
      <c r="F66" s="49">
        <v>15834</v>
      </c>
      <c r="G66" s="49">
        <v>16182</v>
      </c>
      <c r="H66" s="49"/>
      <c r="I66" s="49"/>
      <c r="J66" s="49"/>
      <c r="K66" s="49"/>
      <c r="L66" s="49">
        <v>16182</v>
      </c>
      <c r="M66" s="49"/>
      <c r="N66" s="49"/>
      <c r="O66" s="49"/>
      <c r="P66" s="49"/>
      <c r="Q66" s="49">
        <v>35314</v>
      </c>
      <c r="R66" s="49"/>
      <c r="S66" s="49"/>
      <c r="T66" s="49"/>
    </row>
    <row r="67" spans="1:20" x14ac:dyDescent="0.25">
      <c r="A67" s="50"/>
      <c r="B67" s="12" t="s">
        <v>77</v>
      </c>
      <c r="C67" s="19" t="s">
        <v>95</v>
      </c>
      <c r="D67" s="49">
        <v>7023</v>
      </c>
      <c r="E67" s="49">
        <v>6234</v>
      </c>
      <c r="F67" s="49">
        <v>6148</v>
      </c>
      <c r="G67" s="49">
        <v>5064</v>
      </c>
      <c r="H67" s="49"/>
      <c r="I67" s="49"/>
      <c r="J67" s="49"/>
      <c r="K67" s="49"/>
      <c r="L67" s="49">
        <v>2441</v>
      </c>
      <c r="M67" s="49"/>
      <c r="N67" s="49"/>
      <c r="O67" s="49"/>
      <c r="P67" s="49"/>
      <c r="Q67" s="49">
        <v>0</v>
      </c>
      <c r="R67" s="49"/>
      <c r="S67" s="49"/>
      <c r="T67" s="49"/>
    </row>
    <row r="68" spans="1:20" s="48" customFormat="1" x14ac:dyDescent="0.25">
      <c r="A68" s="50"/>
      <c r="B68" s="12" t="s">
        <v>97</v>
      </c>
      <c r="C68" s="19" t="s">
        <v>95</v>
      </c>
      <c r="D68" s="51" t="s">
        <v>19</v>
      </c>
      <c r="E68" s="51" t="s">
        <v>19</v>
      </c>
      <c r="F68" s="51" t="s">
        <v>19</v>
      </c>
      <c r="G68" s="51" t="s">
        <v>19</v>
      </c>
      <c r="H68" s="51"/>
      <c r="I68" s="51"/>
      <c r="J68" s="51"/>
      <c r="K68" s="51"/>
      <c r="L68" s="51" t="s">
        <v>19</v>
      </c>
      <c r="M68" s="49"/>
      <c r="N68" s="49"/>
      <c r="O68" s="49"/>
      <c r="P68" s="49"/>
      <c r="Q68" s="51" t="s">
        <v>19</v>
      </c>
      <c r="R68" s="51"/>
      <c r="S68" s="51"/>
      <c r="T68" s="51"/>
    </row>
    <row r="69" spans="1:20" s="48" customFormat="1" ht="45" x14ac:dyDescent="0.25">
      <c r="A69" s="50"/>
      <c r="B69" s="12" t="s">
        <v>98</v>
      </c>
      <c r="C69" s="19" t="s">
        <v>95</v>
      </c>
      <c r="D69" s="51">
        <f>12377+123+455-6</f>
        <v>12949</v>
      </c>
      <c r="E69" s="51">
        <f>11598+490+116</f>
        <v>12204</v>
      </c>
      <c r="F69" s="51">
        <f>4961</f>
        <v>4961</v>
      </c>
      <c r="G69" s="51">
        <v>6397</v>
      </c>
      <c r="H69" s="51"/>
      <c r="I69" s="51"/>
      <c r="J69" s="51"/>
      <c r="K69" s="51"/>
      <c r="L69" s="51">
        <v>9179</v>
      </c>
      <c r="M69" s="49"/>
      <c r="N69" s="49"/>
      <c r="O69" s="49"/>
      <c r="P69" s="49"/>
      <c r="Q69" s="51">
        <v>7991</v>
      </c>
      <c r="R69" s="51"/>
      <c r="S69" s="51"/>
      <c r="T69" s="2" t="s">
        <v>29</v>
      </c>
    </row>
    <row r="70" spans="1:20" x14ac:dyDescent="0.25">
      <c r="A70" s="50"/>
      <c r="B70" s="12" t="s">
        <v>99</v>
      </c>
      <c r="C70" s="19" t="s">
        <v>95</v>
      </c>
      <c r="D70" s="49">
        <v>1714</v>
      </c>
      <c r="E70" s="49">
        <v>2174</v>
      </c>
      <c r="F70" s="49">
        <v>1800</v>
      </c>
      <c r="G70" s="49">
        <f>1766+108</f>
        <v>1874</v>
      </c>
      <c r="H70" s="49"/>
      <c r="I70" s="49"/>
      <c r="J70" s="49"/>
      <c r="K70" s="49"/>
      <c r="L70" s="49">
        <f>1743+108</f>
        <v>1851</v>
      </c>
      <c r="M70" s="49"/>
      <c r="N70" s="49"/>
      <c r="O70" s="49"/>
      <c r="P70" s="49"/>
      <c r="Q70" s="49">
        <f>1902+262</f>
        <v>2164</v>
      </c>
      <c r="R70" s="49"/>
      <c r="S70" s="49"/>
      <c r="T70" s="49"/>
    </row>
    <row r="71" spans="1:20" x14ac:dyDescent="0.25">
      <c r="A71" s="50"/>
      <c r="B71" s="12" t="s">
        <v>100</v>
      </c>
      <c r="C71" s="19" t="s">
        <v>95</v>
      </c>
      <c r="D71" s="49">
        <v>202</v>
      </c>
      <c r="E71" s="49">
        <v>188</v>
      </c>
      <c r="F71" s="49">
        <v>230</v>
      </c>
      <c r="G71" s="49">
        <v>225</v>
      </c>
      <c r="H71" s="49"/>
      <c r="I71" s="49"/>
      <c r="J71" s="49"/>
      <c r="K71" s="49"/>
      <c r="L71" s="49">
        <v>225</v>
      </c>
      <c r="M71" s="49"/>
      <c r="N71" s="49"/>
      <c r="O71" s="49"/>
      <c r="P71" s="49"/>
      <c r="Q71" s="49">
        <v>225</v>
      </c>
      <c r="R71" s="49"/>
      <c r="S71" s="49"/>
      <c r="T71" s="49"/>
    </row>
    <row r="72" spans="1:20" x14ac:dyDescent="0.25">
      <c r="A72" s="50"/>
      <c r="B72" s="12" t="s">
        <v>101</v>
      </c>
      <c r="C72" s="19" t="s">
        <v>95</v>
      </c>
      <c r="D72" s="49">
        <v>10</v>
      </c>
      <c r="E72" s="49">
        <v>534</v>
      </c>
      <c r="F72" s="49">
        <v>701</v>
      </c>
      <c r="G72" s="49">
        <v>713</v>
      </c>
      <c r="H72" s="49"/>
      <c r="I72" s="49"/>
      <c r="J72" s="49"/>
      <c r="K72" s="49"/>
      <c r="L72" s="49">
        <v>212</v>
      </c>
      <c r="M72" s="49"/>
      <c r="N72" s="49"/>
      <c r="O72" s="49"/>
      <c r="P72" s="49"/>
      <c r="Q72" s="49">
        <v>0</v>
      </c>
      <c r="R72" s="49"/>
      <c r="S72" s="49"/>
      <c r="T72" s="49"/>
    </row>
    <row r="73" spans="1:20" x14ac:dyDescent="0.25">
      <c r="A73" s="50"/>
      <c r="B73" s="12" t="s">
        <v>102</v>
      </c>
      <c r="C73" s="19" t="s">
        <v>95</v>
      </c>
      <c r="D73" s="49">
        <v>0</v>
      </c>
      <c r="E73" s="49">
        <v>1</v>
      </c>
      <c r="F73" s="49">
        <v>123</v>
      </c>
      <c r="G73" s="49">
        <v>2026</v>
      </c>
      <c r="H73" s="49"/>
      <c r="I73" s="49"/>
      <c r="J73" s="49"/>
      <c r="K73" s="49"/>
      <c r="L73" s="49">
        <v>5838</v>
      </c>
      <c r="M73" s="49"/>
      <c r="N73" s="49"/>
      <c r="O73" s="49"/>
      <c r="P73" s="49"/>
      <c r="Q73" s="49">
        <v>7310</v>
      </c>
      <c r="R73" s="49"/>
      <c r="S73" s="49"/>
      <c r="T73" s="49"/>
    </row>
    <row r="74" spans="1:20" x14ac:dyDescent="0.25">
      <c r="A74" s="50"/>
      <c r="B74" s="12" t="s">
        <v>103</v>
      </c>
      <c r="C74" s="19" t="s">
        <v>95</v>
      </c>
      <c r="D74" s="49">
        <v>84</v>
      </c>
      <c r="E74" s="49">
        <v>262</v>
      </c>
      <c r="F74" s="49">
        <v>429</v>
      </c>
      <c r="G74" s="49">
        <v>443</v>
      </c>
      <c r="H74" s="49"/>
      <c r="I74" s="49"/>
      <c r="J74" s="49"/>
      <c r="K74" s="49"/>
      <c r="L74" s="49">
        <v>539</v>
      </c>
      <c r="M74" s="49"/>
      <c r="N74" s="49"/>
      <c r="O74" s="49"/>
      <c r="P74" s="49"/>
      <c r="Q74" s="49">
        <v>520</v>
      </c>
      <c r="R74" s="49"/>
      <c r="S74" s="49"/>
      <c r="T74" s="49"/>
    </row>
    <row r="75" spans="1:20" x14ac:dyDescent="0.25">
      <c r="A75" s="50"/>
      <c r="B75" s="12" t="s">
        <v>104</v>
      </c>
      <c r="C75" s="19" t="s">
        <v>95</v>
      </c>
      <c r="D75" s="49">
        <v>0</v>
      </c>
      <c r="E75" s="49">
        <v>0</v>
      </c>
      <c r="F75" s="49">
        <v>0</v>
      </c>
      <c r="G75" s="49">
        <v>0</v>
      </c>
      <c r="H75" s="49"/>
      <c r="I75" s="49"/>
      <c r="J75" s="49"/>
      <c r="K75" s="49"/>
      <c r="L75" s="49">
        <v>0</v>
      </c>
      <c r="M75" s="49"/>
      <c r="N75" s="49"/>
      <c r="O75" s="49"/>
      <c r="P75" s="49"/>
      <c r="Q75" s="49">
        <v>0</v>
      </c>
      <c r="R75" s="49"/>
      <c r="S75" s="49"/>
      <c r="T75" s="49"/>
    </row>
    <row r="76" spans="1:20" ht="45.75" x14ac:dyDescent="0.25">
      <c r="A76" s="15">
        <v>3</v>
      </c>
      <c r="B76" s="13" t="s">
        <v>105</v>
      </c>
      <c r="C76" s="13" t="s">
        <v>11</v>
      </c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</row>
    <row r="77" spans="1:20" ht="34.5" x14ac:dyDescent="0.25">
      <c r="A77" s="15"/>
      <c r="B77" s="13" t="s">
        <v>106</v>
      </c>
      <c r="C77" s="13" t="s">
        <v>11</v>
      </c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</row>
    <row r="78" spans="1:20" s="48" customFormat="1" ht="57" x14ac:dyDescent="0.25">
      <c r="A78" s="15">
        <v>4</v>
      </c>
      <c r="B78" s="10" t="s">
        <v>107</v>
      </c>
      <c r="C78" s="13" t="s">
        <v>108</v>
      </c>
      <c r="D78" s="49"/>
      <c r="E78" s="49"/>
      <c r="F78" s="47">
        <f>F79+F80+F82+F83+F84+F85+F86+F87+F88</f>
        <v>8.6869999999999994</v>
      </c>
      <c r="G78" s="47">
        <f>G79+G80+G82+G83+G84+G85+G86+G87+G88</f>
        <v>9.2469000000000019</v>
      </c>
      <c r="H78" s="57"/>
      <c r="I78" s="51"/>
      <c r="J78" s="51"/>
      <c r="K78" s="51"/>
      <c r="L78" s="47">
        <f>L79+L80+L82+L83+L84+L85+L86+L87+L88</f>
        <v>12.628400000000001</v>
      </c>
      <c r="M78" s="51"/>
      <c r="N78" s="51"/>
      <c r="O78" s="51"/>
      <c r="P78" s="51"/>
      <c r="Q78" s="47">
        <f>Q79+Q80+Q82+Q83+Q84+Q85+Q86+Q87+Q88</f>
        <v>16.724599999999999</v>
      </c>
      <c r="R78" s="51"/>
      <c r="S78" s="51"/>
      <c r="T78" s="2" t="s">
        <v>30</v>
      </c>
    </row>
    <row r="79" spans="1:20" x14ac:dyDescent="0.25">
      <c r="A79" s="15"/>
      <c r="B79" s="10" t="s">
        <v>79</v>
      </c>
      <c r="C79" s="13" t="s">
        <v>108</v>
      </c>
      <c r="D79" s="49"/>
      <c r="E79" s="49"/>
      <c r="F79" s="58">
        <v>2</v>
      </c>
      <c r="G79" s="58">
        <v>2.0299999999999998</v>
      </c>
      <c r="H79" s="49"/>
      <c r="I79" s="49"/>
      <c r="J79" s="49"/>
      <c r="K79" s="49"/>
      <c r="L79" s="58">
        <v>2.0299999999999998</v>
      </c>
      <c r="M79" s="49"/>
      <c r="N79" s="49"/>
      <c r="O79" s="49"/>
      <c r="P79" s="49"/>
      <c r="Q79" s="58">
        <v>4.43</v>
      </c>
      <c r="R79" s="49"/>
      <c r="S79" s="49"/>
      <c r="T79" s="49"/>
    </row>
    <row r="80" spans="1:20" s="48" customFormat="1" x14ac:dyDescent="0.25">
      <c r="A80" s="15"/>
      <c r="B80" s="10" t="s">
        <v>77</v>
      </c>
      <c r="C80" s="13" t="s">
        <v>108</v>
      </c>
      <c r="D80" s="51"/>
      <c r="E80" s="51"/>
      <c r="F80" s="47">
        <v>1.167</v>
      </c>
      <c r="G80" s="47">
        <v>0.90700000000000003</v>
      </c>
      <c r="H80" s="51"/>
      <c r="I80" s="51"/>
      <c r="J80" s="51"/>
      <c r="K80" s="51"/>
      <c r="L80" s="47">
        <v>0.47899999999999998</v>
      </c>
      <c r="M80" s="51"/>
      <c r="N80" s="51"/>
      <c r="O80" s="51"/>
      <c r="P80" s="51"/>
      <c r="Q80" s="47">
        <v>0</v>
      </c>
      <c r="R80" s="51"/>
      <c r="S80" s="51"/>
      <c r="T80" s="49"/>
    </row>
    <row r="81" spans="1:20" s="48" customFormat="1" x14ac:dyDescent="0.25">
      <c r="A81" s="15"/>
      <c r="B81" s="10" t="s">
        <v>97</v>
      </c>
      <c r="C81" s="13" t="s">
        <v>108</v>
      </c>
      <c r="D81" s="49"/>
      <c r="E81" s="49"/>
      <c r="F81" s="47" t="s">
        <v>19</v>
      </c>
      <c r="G81" s="47" t="s">
        <v>19</v>
      </c>
      <c r="H81" s="49"/>
      <c r="I81" s="49"/>
      <c r="J81" s="49"/>
      <c r="K81" s="49"/>
      <c r="L81" s="47" t="s">
        <v>19</v>
      </c>
      <c r="M81" s="49"/>
      <c r="N81" s="49"/>
      <c r="O81" s="49"/>
      <c r="P81" s="49"/>
      <c r="Q81" s="47" t="s">
        <v>19</v>
      </c>
      <c r="R81" s="47"/>
      <c r="T81" s="51"/>
    </row>
    <row r="82" spans="1:20" s="48" customFormat="1" ht="45" x14ac:dyDescent="0.25">
      <c r="A82" s="15"/>
      <c r="B82" s="10" t="s">
        <v>98</v>
      </c>
      <c r="C82" s="13" t="s">
        <v>108</v>
      </c>
      <c r="D82" s="51"/>
      <c r="E82" s="51"/>
      <c r="F82" s="47">
        <v>4.5670000000000002</v>
      </c>
      <c r="G82" s="47">
        <f>F82-900/1000-53/1000</f>
        <v>3.6140000000000003</v>
      </c>
      <c r="H82" s="51"/>
      <c r="I82" s="51"/>
      <c r="J82" s="51"/>
      <c r="K82" s="51"/>
      <c r="L82" s="47">
        <f>G82+0.8-0.26</f>
        <v>4.1540000000000008</v>
      </c>
      <c r="M82" s="51"/>
      <c r="N82" s="51"/>
      <c r="O82" s="51"/>
      <c r="P82" s="51"/>
      <c r="Q82" s="47">
        <f>L82+0.7+0.4-0.24</f>
        <v>5.0140000000000011</v>
      </c>
      <c r="R82" s="51"/>
      <c r="S82" s="51"/>
      <c r="T82" s="2" t="s">
        <v>28</v>
      </c>
    </row>
    <row r="83" spans="1:20" x14ac:dyDescent="0.25">
      <c r="A83" s="15"/>
      <c r="B83" s="10" t="s">
        <v>99</v>
      </c>
      <c r="C83" s="13" t="s">
        <v>108</v>
      </c>
      <c r="D83" s="49"/>
      <c r="E83" s="49"/>
      <c r="F83" s="58">
        <f>(143+125+27)/1000</f>
        <v>0.29499999999999998</v>
      </c>
      <c r="G83" s="58">
        <v>0.35699999999999998</v>
      </c>
      <c r="H83" s="49"/>
      <c r="I83" s="49"/>
      <c r="J83" s="49"/>
      <c r="K83" s="49"/>
      <c r="L83" s="58">
        <v>0.37</v>
      </c>
      <c r="M83" s="49"/>
      <c r="N83" s="49"/>
      <c r="O83" s="49"/>
      <c r="P83" s="49"/>
      <c r="Q83" s="58">
        <v>0.44900000000000001</v>
      </c>
      <c r="R83" s="49"/>
      <c r="S83" s="49"/>
      <c r="T83" s="49"/>
    </row>
    <row r="84" spans="1:20" x14ac:dyDescent="0.25">
      <c r="A84" s="15"/>
      <c r="B84" s="10" t="s">
        <v>100</v>
      </c>
      <c r="C84" s="13" t="s">
        <v>108</v>
      </c>
      <c r="D84" s="49"/>
      <c r="E84" s="49"/>
      <c r="F84" s="58">
        <f>57/1000</f>
        <v>5.7000000000000002E-2</v>
      </c>
      <c r="G84" s="58">
        <f t="shared" ref="G84:Q84" si="8">57/1000</f>
        <v>5.7000000000000002E-2</v>
      </c>
      <c r="H84" s="49"/>
      <c r="I84" s="49"/>
      <c r="J84" s="49"/>
      <c r="K84" s="49"/>
      <c r="L84" s="58">
        <f t="shared" si="8"/>
        <v>5.7000000000000002E-2</v>
      </c>
      <c r="M84" s="49"/>
      <c r="N84" s="49"/>
      <c r="O84" s="49"/>
      <c r="P84" s="49"/>
      <c r="Q84" s="58">
        <f t="shared" si="8"/>
        <v>5.7000000000000002E-2</v>
      </c>
      <c r="R84" s="49"/>
      <c r="S84" s="49"/>
      <c r="T84" s="49"/>
    </row>
    <row r="85" spans="1:20" x14ac:dyDescent="0.25">
      <c r="A85" s="15"/>
      <c r="B85" s="10" t="s">
        <v>101</v>
      </c>
      <c r="C85" s="13" t="s">
        <v>108</v>
      </c>
      <c r="D85" s="49"/>
      <c r="E85" s="49"/>
      <c r="F85" s="58">
        <f>329/1000</f>
        <v>0.32900000000000001</v>
      </c>
      <c r="G85" s="58">
        <f>329/1000</f>
        <v>0.32900000000000001</v>
      </c>
      <c r="H85" s="49"/>
      <c r="I85" s="49"/>
      <c r="J85" s="49"/>
      <c r="K85" s="49"/>
      <c r="L85" s="58">
        <f>0.3*G85</f>
        <v>9.8699999999999996E-2</v>
      </c>
      <c r="M85" s="49"/>
      <c r="N85" s="49"/>
      <c r="O85" s="49"/>
      <c r="P85" s="49"/>
      <c r="Q85" s="58">
        <v>0</v>
      </c>
      <c r="R85" s="49"/>
      <c r="S85" s="49"/>
      <c r="T85" s="49"/>
    </row>
    <row r="86" spans="1:20" s="48" customFormat="1" ht="30" x14ac:dyDescent="0.25">
      <c r="A86" s="15"/>
      <c r="B86" s="10" t="s">
        <v>102</v>
      </c>
      <c r="C86" s="13" t="s">
        <v>108</v>
      </c>
      <c r="D86" s="51"/>
      <c r="E86" s="51"/>
      <c r="F86" s="47">
        <f>168/1000</f>
        <v>0.16800000000000001</v>
      </c>
      <c r="G86" s="47">
        <f>1842/1000</f>
        <v>1.8420000000000001</v>
      </c>
      <c r="H86" s="51"/>
      <c r="I86" s="51"/>
      <c r="J86" s="51"/>
      <c r="K86" s="51"/>
      <c r="L86" s="47">
        <v>5.3070000000000004</v>
      </c>
      <c r="M86" s="51"/>
      <c r="N86" s="51"/>
      <c r="O86" s="51"/>
      <c r="P86" s="51"/>
      <c r="Q86" s="47">
        <v>6.6449999999999996</v>
      </c>
      <c r="R86" s="51"/>
      <c r="S86" s="51"/>
      <c r="T86" s="2" t="s">
        <v>30</v>
      </c>
    </row>
    <row r="87" spans="1:20" x14ac:dyDescent="0.25">
      <c r="A87" s="15"/>
      <c r="B87" s="10" t="s">
        <v>103</v>
      </c>
      <c r="C87" s="13" t="s">
        <v>108</v>
      </c>
      <c r="D87" s="49"/>
      <c r="E87" s="49"/>
      <c r="F87" s="58">
        <v>0.104</v>
      </c>
      <c r="G87" s="58">
        <f>110.9/1000</f>
        <v>0.11090000000000001</v>
      </c>
      <c r="H87" s="49"/>
      <c r="I87" s="49"/>
      <c r="J87" s="49"/>
      <c r="K87" s="49"/>
      <c r="L87" s="58">
        <f>132.7/1000</f>
        <v>0.13269999999999998</v>
      </c>
      <c r="M87" s="49"/>
      <c r="N87" s="49"/>
      <c r="O87" s="49"/>
      <c r="P87" s="49"/>
      <c r="Q87" s="58">
        <f>129.6/1000</f>
        <v>0.12959999999999999</v>
      </c>
      <c r="R87" s="49"/>
      <c r="S87" s="49"/>
      <c r="T87" s="49"/>
    </row>
    <row r="88" spans="1:20" x14ac:dyDescent="0.25">
      <c r="A88" s="15"/>
      <c r="B88" s="10" t="s">
        <v>104</v>
      </c>
      <c r="C88" s="13" t="s">
        <v>108</v>
      </c>
      <c r="D88" s="49"/>
      <c r="E88" s="49"/>
      <c r="F88" s="49">
        <v>0</v>
      </c>
      <c r="G88" s="49">
        <v>0</v>
      </c>
      <c r="H88" s="49"/>
      <c r="I88" s="49"/>
      <c r="J88" s="49"/>
      <c r="K88" s="49"/>
      <c r="L88" s="49">
        <v>0</v>
      </c>
      <c r="M88" s="49"/>
      <c r="N88" s="49"/>
      <c r="O88" s="49"/>
      <c r="P88" s="49"/>
      <c r="Q88" s="49">
        <v>0</v>
      </c>
      <c r="R88" s="49"/>
      <c r="S88" s="49"/>
      <c r="T88" s="49"/>
    </row>
    <row r="89" spans="1:20" x14ac:dyDescent="0.25">
      <c r="A89" s="15">
        <v>5</v>
      </c>
      <c r="B89" s="10" t="s">
        <v>109</v>
      </c>
      <c r="C89" s="13" t="s">
        <v>110</v>
      </c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</row>
    <row r="90" spans="1:20" ht="23.25" x14ac:dyDescent="0.25">
      <c r="A90" s="15">
        <v>6</v>
      </c>
      <c r="B90" s="19" t="s">
        <v>111</v>
      </c>
      <c r="C90" s="13" t="s">
        <v>110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</row>
    <row r="91" spans="1:20" ht="90.75" x14ac:dyDescent="0.25">
      <c r="A91" s="15">
        <v>7</v>
      </c>
      <c r="B91" s="13" t="s">
        <v>204</v>
      </c>
      <c r="C91" s="13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</row>
    <row r="92" spans="1:20" ht="15.75" x14ac:dyDescent="0.25">
      <c r="A92" s="88" t="s">
        <v>112</v>
      </c>
      <c r="B92" s="88"/>
      <c r="C92" s="59"/>
      <c r="D92" s="3">
        <v>2005</v>
      </c>
      <c r="E92" s="3">
        <v>2010</v>
      </c>
      <c r="F92" s="3">
        <v>2015</v>
      </c>
      <c r="G92" s="3">
        <v>2020</v>
      </c>
      <c r="H92" s="3">
        <v>2021</v>
      </c>
      <c r="I92" s="3">
        <v>2022</v>
      </c>
      <c r="J92" s="3">
        <v>2023</v>
      </c>
      <c r="K92" s="3">
        <v>2024</v>
      </c>
      <c r="L92" s="3">
        <v>2025</v>
      </c>
      <c r="M92" s="3">
        <v>2026</v>
      </c>
      <c r="N92" s="3">
        <v>2027</v>
      </c>
      <c r="O92" s="3">
        <v>2028</v>
      </c>
      <c r="P92" s="3">
        <v>2029</v>
      </c>
      <c r="Q92" s="3">
        <v>2030</v>
      </c>
      <c r="R92" s="49"/>
      <c r="S92" s="49"/>
      <c r="T92" s="49"/>
    </row>
    <row r="93" spans="1:20" ht="23.25" x14ac:dyDescent="0.25">
      <c r="A93" s="15">
        <v>1</v>
      </c>
      <c r="B93" s="10" t="s">
        <v>113</v>
      </c>
      <c r="C93" s="10" t="s">
        <v>10</v>
      </c>
      <c r="D93" s="49">
        <f>D94+D95+D96</f>
        <v>5031.3</v>
      </c>
      <c r="E93" s="49">
        <f t="shared" ref="E93:G93" si="9">E94+E95+E96</f>
        <v>4353.2</v>
      </c>
      <c r="F93" s="49">
        <f t="shared" si="9"/>
        <v>2534</v>
      </c>
      <c r="G93" s="49">
        <f t="shared" si="9"/>
        <v>2606.8000000000002</v>
      </c>
      <c r="H93" s="49"/>
      <c r="I93" s="49"/>
      <c r="J93" s="49"/>
      <c r="K93" s="49"/>
      <c r="L93" s="49">
        <f t="shared" ref="L93" si="10">L94+L95+L96</f>
        <v>2266</v>
      </c>
      <c r="M93" s="49"/>
      <c r="N93" s="49"/>
      <c r="O93" s="49"/>
      <c r="P93" s="49"/>
      <c r="Q93" s="49">
        <f t="shared" ref="Q93" si="11">Q94+Q95+Q96</f>
        <v>1342</v>
      </c>
      <c r="R93" s="49"/>
      <c r="S93" s="49"/>
      <c r="T93" s="49"/>
    </row>
    <row r="94" spans="1:20" x14ac:dyDescent="0.25">
      <c r="A94" s="50"/>
      <c r="B94" s="12" t="s">
        <v>77</v>
      </c>
      <c r="C94" s="19" t="s">
        <v>10</v>
      </c>
      <c r="D94" s="49">
        <v>1924.3</v>
      </c>
      <c r="E94" s="49">
        <v>1646.2</v>
      </c>
      <c r="F94" s="49">
        <v>1461</v>
      </c>
      <c r="G94" s="49">
        <v>1412.8</v>
      </c>
      <c r="H94" s="49"/>
      <c r="I94" s="49"/>
      <c r="J94" s="49"/>
      <c r="K94" s="49"/>
      <c r="L94" s="49">
        <v>685</v>
      </c>
      <c r="M94" s="49"/>
      <c r="N94" s="49"/>
      <c r="O94" s="49"/>
      <c r="P94" s="49"/>
      <c r="Q94" s="49">
        <v>0</v>
      </c>
      <c r="R94" s="49"/>
      <c r="S94" s="49"/>
      <c r="T94" s="49"/>
    </row>
    <row r="95" spans="1:20" x14ac:dyDescent="0.25">
      <c r="A95" s="50"/>
      <c r="B95" s="12" t="s">
        <v>64</v>
      </c>
      <c r="C95" s="19" t="s">
        <v>10</v>
      </c>
      <c r="D95" s="49">
        <v>115</v>
      </c>
      <c r="E95" s="49">
        <v>111</v>
      </c>
      <c r="F95" s="49">
        <v>16</v>
      </c>
      <c r="G95" s="49">
        <v>14</v>
      </c>
      <c r="H95" s="49"/>
      <c r="I95" s="49"/>
      <c r="J95" s="49"/>
      <c r="K95" s="49"/>
      <c r="L95" s="49">
        <v>10</v>
      </c>
      <c r="M95" s="49"/>
      <c r="N95" s="49"/>
      <c r="O95" s="49"/>
      <c r="P95" s="49"/>
      <c r="Q95" s="49">
        <v>5</v>
      </c>
      <c r="R95" s="49"/>
      <c r="S95" s="49"/>
      <c r="T95" s="49"/>
    </row>
    <row r="96" spans="1:20" s="48" customFormat="1" ht="30" x14ac:dyDescent="0.25">
      <c r="A96" s="50"/>
      <c r="B96" s="12" t="s">
        <v>78</v>
      </c>
      <c r="C96" s="19" t="s">
        <v>10</v>
      </c>
      <c r="D96" s="51">
        <v>2992</v>
      </c>
      <c r="E96" s="51">
        <v>2596</v>
      </c>
      <c r="F96" s="51">
        <v>1057</v>
      </c>
      <c r="G96" s="51">
        <v>1180</v>
      </c>
      <c r="H96" s="49"/>
      <c r="I96" s="49"/>
      <c r="J96" s="49"/>
      <c r="K96" s="49"/>
      <c r="L96" s="51">
        <v>1571</v>
      </c>
      <c r="M96" s="49"/>
      <c r="N96" s="49"/>
      <c r="O96" s="49"/>
      <c r="P96" s="49"/>
      <c r="Q96" s="51">
        <v>1337</v>
      </c>
      <c r="R96" s="51"/>
      <c r="S96" s="51"/>
      <c r="T96" s="2" t="s">
        <v>31</v>
      </c>
    </row>
    <row r="97" spans="1:20" x14ac:dyDescent="0.25">
      <c r="A97" s="15">
        <v>2</v>
      </c>
      <c r="B97" s="10" t="s">
        <v>114</v>
      </c>
      <c r="C97" s="10" t="s">
        <v>10</v>
      </c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</row>
    <row r="98" spans="1:20" ht="15.75" x14ac:dyDescent="0.25">
      <c r="A98" s="86" t="s">
        <v>115</v>
      </c>
      <c r="B98" s="86"/>
      <c r="C98" s="53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</row>
    <row r="99" spans="1:20" x14ac:dyDescent="0.25">
      <c r="A99" s="15">
        <v>1</v>
      </c>
      <c r="B99" s="10" t="s">
        <v>116</v>
      </c>
      <c r="C99" s="10" t="s">
        <v>10</v>
      </c>
      <c r="D99" s="49">
        <f>D55</f>
        <v>28111.9</v>
      </c>
      <c r="E99" s="49">
        <f t="shared" ref="E99:Q99" si="12">E55</f>
        <v>26599.1</v>
      </c>
      <c r="F99" s="49">
        <f t="shared" si="12"/>
        <v>25184</v>
      </c>
      <c r="G99" s="49">
        <f t="shared" si="12"/>
        <v>26878</v>
      </c>
      <c r="H99" s="49"/>
      <c r="I99" s="49"/>
      <c r="J99" s="49"/>
      <c r="K99" s="49"/>
      <c r="L99" s="49">
        <f t="shared" si="12"/>
        <v>26895</v>
      </c>
      <c r="M99" s="49"/>
      <c r="N99" s="49"/>
      <c r="O99" s="49"/>
      <c r="P99" s="49"/>
      <c r="Q99" s="49">
        <f t="shared" si="12"/>
        <v>30002</v>
      </c>
      <c r="R99" s="49"/>
      <c r="S99" s="49"/>
      <c r="T99" s="49"/>
    </row>
    <row r="100" spans="1:20" s="48" customFormat="1" ht="44.25" customHeight="1" x14ac:dyDescent="0.25">
      <c r="A100" s="15">
        <v>1</v>
      </c>
      <c r="B100" s="13" t="s">
        <v>117</v>
      </c>
      <c r="C100" s="13" t="s">
        <v>10</v>
      </c>
      <c r="D100" s="51">
        <v>18748.599999999999</v>
      </c>
      <c r="E100" s="51">
        <v>17425</v>
      </c>
      <c r="F100" s="51">
        <v>17381</v>
      </c>
      <c r="G100" s="51">
        <v>18252</v>
      </c>
      <c r="H100" s="51"/>
      <c r="I100" s="51"/>
      <c r="J100" s="51"/>
      <c r="K100" s="51"/>
      <c r="L100" s="51">
        <v>18318</v>
      </c>
      <c r="M100" s="51"/>
      <c r="N100" s="51"/>
      <c r="O100" s="51"/>
      <c r="P100" s="51"/>
      <c r="Q100" s="51">
        <v>18585</v>
      </c>
      <c r="R100" s="51"/>
      <c r="S100" s="51"/>
      <c r="T100" s="2" t="s">
        <v>34</v>
      </c>
    </row>
    <row r="101" spans="1:20" ht="33" x14ac:dyDescent="0.25">
      <c r="A101" s="15">
        <v>2</v>
      </c>
      <c r="B101" s="21" t="s">
        <v>118</v>
      </c>
      <c r="C101" s="21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</row>
    <row r="102" spans="1:20" x14ac:dyDescent="0.25">
      <c r="A102" s="50"/>
      <c r="B102" s="14" t="s">
        <v>119</v>
      </c>
      <c r="C102" s="17" t="s">
        <v>10</v>
      </c>
      <c r="D102" s="49">
        <v>3401</v>
      </c>
      <c r="E102" s="49">
        <v>2919.9</v>
      </c>
      <c r="F102" s="49">
        <v>4243.8</v>
      </c>
      <c r="G102" s="49">
        <v>4762</v>
      </c>
      <c r="H102" s="49"/>
      <c r="I102" s="49"/>
      <c r="J102" s="49"/>
      <c r="K102" s="49"/>
      <c r="L102" s="49">
        <v>5048</v>
      </c>
      <c r="M102" s="49"/>
      <c r="N102" s="49"/>
      <c r="O102" s="49"/>
      <c r="P102" s="49"/>
      <c r="Q102" s="49">
        <v>5311</v>
      </c>
      <c r="R102" s="49"/>
      <c r="S102" s="49"/>
      <c r="T102" s="49"/>
    </row>
    <row r="103" spans="1:20" x14ac:dyDescent="0.25">
      <c r="A103" s="50"/>
      <c r="B103" s="14" t="s">
        <v>120</v>
      </c>
      <c r="C103" s="17" t="s">
        <v>10</v>
      </c>
      <c r="D103" s="49">
        <v>6974.3</v>
      </c>
      <c r="E103" s="49">
        <v>6649.3</v>
      </c>
      <c r="F103" s="49">
        <v>5969.9</v>
      </c>
      <c r="G103" s="49">
        <v>5812</v>
      </c>
      <c r="H103" s="49"/>
      <c r="I103" s="49"/>
      <c r="J103" s="49"/>
      <c r="K103" s="49"/>
      <c r="L103" s="49">
        <v>5210</v>
      </c>
      <c r="M103" s="49"/>
      <c r="N103" s="49"/>
      <c r="O103" s="49"/>
      <c r="P103" s="49"/>
      <c r="Q103" s="49">
        <v>4756</v>
      </c>
      <c r="R103" s="49"/>
      <c r="S103" s="49"/>
      <c r="T103" s="51"/>
    </row>
    <row r="104" spans="1:20" s="48" customFormat="1" ht="105" x14ac:dyDescent="0.25">
      <c r="A104" s="50"/>
      <c r="B104" s="14" t="s">
        <v>121</v>
      </c>
      <c r="C104" s="17" t="s">
        <v>10</v>
      </c>
      <c r="D104" s="51">
        <v>3500.5</v>
      </c>
      <c r="E104" s="51">
        <v>3048.6</v>
      </c>
      <c r="F104" s="51">
        <v>2203.6</v>
      </c>
      <c r="G104" s="51">
        <v>1921</v>
      </c>
      <c r="H104" s="51"/>
      <c r="I104" s="51"/>
      <c r="J104" s="51"/>
      <c r="K104" s="51"/>
      <c r="L104" s="51">
        <v>1845</v>
      </c>
      <c r="M104" s="51"/>
      <c r="N104" s="51"/>
      <c r="O104" s="51"/>
      <c r="P104" s="51"/>
      <c r="Q104" s="51">
        <v>1805</v>
      </c>
      <c r="R104" s="51"/>
      <c r="S104" s="51"/>
      <c r="T104" s="2" t="s">
        <v>21</v>
      </c>
    </row>
    <row r="105" spans="1:20" s="48" customFormat="1" ht="30" x14ac:dyDescent="0.25">
      <c r="A105" s="50"/>
      <c r="B105" s="14" t="s">
        <v>122</v>
      </c>
      <c r="C105" s="17" t="s">
        <v>10</v>
      </c>
      <c r="D105" s="51">
        <v>4312.7</v>
      </c>
      <c r="E105" s="51">
        <v>4319.1000000000004</v>
      </c>
      <c r="F105" s="51">
        <v>4356</v>
      </c>
      <c r="G105" s="51">
        <v>4896</v>
      </c>
      <c r="H105" s="51"/>
      <c r="I105" s="51"/>
      <c r="J105" s="51"/>
      <c r="K105" s="51"/>
      <c r="L105" s="51">
        <v>5306</v>
      </c>
      <c r="M105" s="51"/>
      <c r="N105" s="51"/>
      <c r="O105" s="51"/>
      <c r="P105" s="51"/>
      <c r="Q105" s="51">
        <v>5767</v>
      </c>
      <c r="R105" s="51"/>
      <c r="S105" s="51"/>
      <c r="T105" s="2" t="s">
        <v>35</v>
      </c>
    </row>
    <row r="106" spans="1:20" x14ac:dyDescent="0.25">
      <c r="A106" s="50"/>
      <c r="B106" s="14" t="s">
        <v>92</v>
      </c>
      <c r="C106" s="17" t="s">
        <v>10</v>
      </c>
      <c r="D106" s="49">
        <f>D100-D102-D103-D104-D105</f>
        <v>560.09999999999945</v>
      </c>
      <c r="E106" s="49">
        <f t="shared" ref="E106:F106" si="13">E100-E102-E103-E104-E105</f>
        <v>488.10000000000036</v>
      </c>
      <c r="F106" s="49">
        <f t="shared" si="13"/>
        <v>607.70000000000073</v>
      </c>
      <c r="G106" s="49">
        <v>640</v>
      </c>
      <c r="H106" s="49"/>
      <c r="I106" s="49"/>
      <c r="J106" s="49"/>
      <c r="K106" s="49"/>
      <c r="L106" s="49">
        <v>666</v>
      </c>
      <c r="M106" s="49"/>
      <c r="N106" s="49"/>
      <c r="O106" s="49"/>
      <c r="P106" s="49"/>
      <c r="Q106" s="49">
        <v>679</v>
      </c>
      <c r="R106" s="49"/>
      <c r="S106" s="49"/>
      <c r="T106" s="49"/>
    </row>
    <row r="107" spans="1:20" x14ac:dyDescent="0.25">
      <c r="A107" s="50"/>
      <c r="B107" s="22" t="s">
        <v>123</v>
      </c>
      <c r="C107" s="23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</row>
    <row r="108" spans="1:20" x14ac:dyDescent="0.25">
      <c r="A108" s="50"/>
      <c r="B108" s="24" t="s">
        <v>124</v>
      </c>
      <c r="C108" s="19" t="s">
        <v>10</v>
      </c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</row>
    <row r="109" spans="1:20" x14ac:dyDescent="0.25">
      <c r="A109" s="50"/>
      <c r="B109" s="24" t="s">
        <v>125</v>
      </c>
      <c r="C109" s="19" t="s">
        <v>10</v>
      </c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</row>
    <row r="110" spans="1:20" ht="22.5" x14ac:dyDescent="0.25">
      <c r="A110" s="15">
        <v>3</v>
      </c>
      <c r="B110" s="21" t="s">
        <v>126</v>
      </c>
      <c r="C110" s="21"/>
      <c r="D110" s="3">
        <v>2005</v>
      </c>
      <c r="E110" s="3">
        <v>2010</v>
      </c>
      <c r="F110" s="3">
        <v>2015</v>
      </c>
      <c r="G110" s="3">
        <v>2020</v>
      </c>
      <c r="H110" s="3">
        <v>2021</v>
      </c>
      <c r="I110" s="3">
        <v>2022</v>
      </c>
      <c r="J110" s="3">
        <v>2023</v>
      </c>
      <c r="K110" s="3">
        <v>2024</v>
      </c>
      <c r="L110" s="3">
        <v>2025</v>
      </c>
      <c r="M110" s="3">
        <v>2026</v>
      </c>
      <c r="N110" s="3">
        <v>2027</v>
      </c>
      <c r="O110" s="3">
        <v>2028</v>
      </c>
      <c r="P110" s="3">
        <v>2029</v>
      </c>
      <c r="Q110" s="3">
        <v>2030</v>
      </c>
      <c r="R110" s="49"/>
      <c r="S110" s="49"/>
      <c r="T110" s="49"/>
    </row>
    <row r="111" spans="1:20" x14ac:dyDescent="0.25">
      <c r="A111" s="50"/>
      <c r="B111" s="12" t="s">
        <v>77</v>
      </c>
      <c r="C111" s="19" t="s">
        <v>10</v>
      </c>
      <c r="D111" s="49">
        <v>727.9</v>
      </c>
      <c r="E111" s="49">
        <v>517.4</v>
      </c>
      <c r="F111" s="49">
        <v>438.2</v>
      </c>
      <c r="G111" s="49">
        <v>471</v>
      </c>
      <c r="H111" s="49"/>
      <c r="I111" s="49"/>
      <c r="J111" s="49"/>
      <c r="K111" s="49"/>
      <c r="L111" s="49">
        <v>388</v>
      </c>
      <c r="M111" s="49"/>
      <c r="N111" s="49"/>
      <c r="O111" s="49"/>
      <c r="P111" s="49"/>
      <c r="Q111" s="49">
        <v>277</v>
      </c>
      <c r="R111" s="49"/>
      <c r="S111" s="49"/>
      <c r="T111" s="49"/>
    </row>
    <row r="112" spans="1:20" s="48" customFormat="1" ht="30" x14ac:dyDescent="0.25">
      <c r="A112" s="50"/>
      <c r="B112" s="12" t="s">
        <v>64</v>
      </c>
      <c r="C112" s="19" t="s">
        <v>10</v>
      </c>
      <c r="D112" s="51">
        <v>4904</v>
      </c>
      <c r="E112" s="51">
        <v>4589.5</v>
      </c>
      <c r="F112" s="51">
        <v>5138.2</v>
      </c>
      <c r="G112" s="51">
        <v>5475</v>
      </c>
      <c r="H112" s="51"/>
      <c r="I112" s="51"/>
      <c r="J112" s="51"/>
      <c r="K112" s="51"/>
      <c r="L112" s="51">
        <v>5783</v>
      </c>
      <c r="M112" s="51"/>
      <c r="N112" s="51"/>
      <c r="O112" s="51"/>
      <c r="P112" s="51"/>
      <c r="Q112" s="51">
        <v>6145</v>
      </c>
      <c r="R112" s="51"/>
      <c r="S112" s="51"/>
      <c r="T112" s="2" t="s">
        <v>35</v>
      </c>
    </row>
    <row r="113" spans="1:20" x14ac:dyDescent="0.25">
      <c r="A113" s="50"/>
      <c r="B113" s="12" t="s">
        <v>78</v>
      </c>
      <c r="C113" s="19" t="s">
        <v>10</v>
      </c>
      <c r="D113" s="49">
        <v>7844.5</v>
      </c>
      <c r="E113" s="49">
        <v>6280.7</v>
      </c>
      <c r="F113" s="49">
        <v>5463.5</v>
      </c>
      <c r="G113" s="49">
        <v>5266</v>
      </c>
      <c r="H113" s="49"/>
      <c r="I113" s="49"/>
      <c r="J113" s="49"/>
      <c r="K113" s="49"/>
      <c r="L113" s="49">
        <v>4853</v>
      </c>
      <c r="M113" s="49"/>
      <c r="N113" s="49"/>
      <c r="O113" s="49"/>
      <c r="P113" s="49"/>
      <c r="Q113" s="49">
        <v>4496</v>
      </c>
      <c r="R113" s="49"/>
      <c r="S113" s="49"/>
      <c r="T113" s="49"/>
    </row>
    <row r="114" spans="1:20" x14ac:dyDescent="0.25">
      <c r="A114" s="50"/>
      <c r="B114" s="12" t="s">
        <v>127</v>
      </c>
      <c r="C114" s="19" t="s">
        <v>10</v>
      </c>
      <c r="D114" s="49">
        <v>2780.6</v>
      </c>
      <c r="E114" s="49">
        <v>2941.3</v>
      </c>
      <c r="F114" s="49">
        <v>3120.5</v>
      </c>
      <c r="G114" s="49">
        <v>3396</v>
      </c>
      <c r="H114" s="49"/>
      <c r="I114" s="49"/>
      <c r="J114" s="49"/>
      <c r="K114" s="49"/>
      <c r="L114" s="49">
        <v>3524</v>
      </c>
      <c r="M114" s="49"/>
      <c r="N114" s="49"/>
      <c r="O114" s="49"/>
      <c r="P114" s="49"/>
      <c r="Q114" s="49">
        <v>3765</v>
      </c>
      <c r="R114" s="49"/>
      <c r="S114" s="49"/>
      <c r="T114" s="49"/>
    </row>
    <row r="115" spans="1:20" x14ac:dyDescent="0.25">
      <c r="A115" s="50"/>
      <c r="B115" s="12" t="s">
        <v>128</v>
      </c>
      <c r="C115" s="19" t="s">
        <v>10</v>
      </c>
      <c r="D115" s="49">
        <v>1308.5</v>
      </c>
      <c r="E115" s="49">
        <v>1089.7</v>
      </c>
      <c r="F115" s="49">
        <v>985</v>
      </c>
      <c r="G115" s="49">
        <v>1041</v>
      </c>
      <c r="H115" s="49"/>
      <c r="I115" s="49"/>
      <c r="J115" s="49"/>
      <c r="K115" s="49"/>
      <c r="L115" s="49">
        <v>985</v>
      </c>
      <c r="M115" s="49"/>
      <c r="N115" s="49"/>
      <c r="O115" s="49"/>
      <c r="P115" s="49"/>
      <c r="Q115" s="49">
        <v>963</v>
      </c>
      <c r="R115" s="49"/>
      <c r="S115" s="49"/>
      <c r="T115" s="49"/>
    </row>
    <row r="116" spans="1:20" x14ac:dyDescent="0.25">
      <c r="A116" s="50"/>
      <c r="B116" s="12" t="s">
        <v>80</v>
      </c>
      <c r="C116" s="19" t="s">
        <v>10</v>
      </c>
      <c r="D116" s="49">
        <v>1157.5</v>
      </c>
      <c r="E116" s="49">
        <v>1974.5</v>
      </c>
      <c r="F116" s="49">
        <v>2176</v>
      </c>
      <c r="G116" s="49">
        <v>2306</v>
      </c>
      <c r="H116" s="49"/>
      <c r="I116" s="49"/>
      <c r="J116" s="49"/>
      <c r="K116" s="49"/>
      <c r="L116" s="49">
        <v>2436</v>
      </c>
      <c r="M116" s="49"/>
      <c r="N116" s="49"/>
      <c r="O116" s="49"/>
      <c r="P116" s="49"/>
      <c r="Q116" s="49">
        <v>2566</v>
      </c>
      <c r="R116" s="49"/>
      <c r="S116" s="49"/>
      <c r="T116" s="49"/>
    </row>
    <row r="117" spans="1:20" x14ac:dyDescent="0.25">
      <c r="A117" s="50"/>
      <c r="B117" s="12" t="s">
        <v>92</v>
      </c>
      <c r="C117" s="19" t="s">
        <v>10</v>
      </c>
      <c r="D117" s="49">
        <v>25.7</v>
      </c>
      <c r="E117" s="49">
        <v>31.9</v>
      </c>
      <c r="F117" s="49">
        <v>59.6</v>
      </c>
      <c r="G117" s="49">
        <v>76</v>
      </c>
      <c r="H117" s="49"/>
      <c r="I117" s="49"/>
      <c r="J117" s="49"/>
      <c r="K117" s="49"/>
      <c r="L117" s="49">
        <v>106</v>
      </c>
      <c r="M117" s="49"/>
      <c r="N117" s="49"/>
      <c r="O117" s="49"/>
      <c r="P117" s="49"/>
      <c r="Q117" s="49">
        <v>106</v>
      </c>
      <c r="R117" s="49"/>
      <c r="S117" s="49"/>
      <c r="T117" s="49"/>
    </row>
    <row r="118" spans="1:20" x14ac:dyDescent="0.25">
      <c r="A118" s="15">
        <v>4</v>
      </c>
      <c r="B118" s="10" t="s">
        <v>129</v>
      </c>
      <c r="C118" s="10" t="s">
        <v>10</v>
      </c>
      <c r="D118" s="49">
        <v>2168.9</v>
      </c>
      <c r="E118" s="49">
        <v>1973.4</v>
      </c>
      <c r="F118" s="49">
        <v>1905</v>
      </c>
      <c r="G118" s="49">
        <v>2176</v>
      </c>
      <c r="H118" s="49"/>
      <c r="I118" s="49"/>
      <c r="J118" s="49"/>
      <c r="K118" s="49"/>
      <c r="L118" s="49">
        <v>2588</v>
      </c>
      <c r="M118" s="49"/>
      <c r="N118" s="49"/>
      <c r="O118" s="49"/>
      <c r="P118" s="49"/>
      <c r="Q118" s="49">
        <v>3001</v>
      </c>
      <c r="R118" s="49"/>
      <c r="S118" s="49"/>
      <c r="T118" s="49"/>
    </row>
    <row r="119" spans="1:20" ht="23.25" x14ac:dyDescent="0.25">
      <c r="A119" s="15">
        <v>5</v>
      </c>
      <c r="B119" s="10" t="s">
        <v>130</v>
      </c>
      <c r="C119" s="10" t="s">
        <v>131</v>
      </c>
      <c r="D119" s="49">
        <f>(D99*1000)/(D5)</f>
        <v>309.09554705994248</v>
      </c>
      <c r="E119" s="49">
        <f t="shared" ref="E119:Q119" si="14">(E99*1000)/(E5)</f>
        <v>295.77856333489382</v>
      </c>
      <c r="F119" s="49">
        <f t="shared" si="14"/>
        <v>254.19434805165443</v>
      </c>
      <c r="G119" s="49">
        <f t="shared" si="14"/>
        <v>225.56428212075633</v>
      </c>
      <c r="H119" s="49"/>
      <c r="I119" s="49"/>
      <c r="J119" s="49"/>
      <c r="K119" s="49"/>
      <c r="L119" s="49">
        <f t="shared" si="14"/>
        <v>185.06978046663079</v>
      </c>
      <c r="M119" s="49"/>
      <c r="N119" s="49"/>
      <c r="O119" s="49"/>
      <c r="P119" s="49"/>
      <c r="Q119" s="49">
        <f t="shared" si="14"/>
        <v>171.5915508949621</v>
      </c>
      <c r="R119" s="60"/>
      <c r="S119" s="49"/>
      <c r="T119" s="49"/>
    </row>
    <row r="120" spans="1:20" ht="34.5" x14ac:dyDescent="0.25">
      <c r="A120" s="15">
        <v>6</v>
      </c>
      <c r="B120" s="10" t="s">
        <v>132</v>
      </c>
      <c r="C120" s="10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</row>
    <row r="121" spans="1:20" s="43" customFormat="1" x14ac:dyDescent="0.25">
      <c r="A121" s="50"/>
      <c r="B121" s="19" t="s">
        <v>119</v>
      </c>
      <c r="C121" s="19" t="s">
        <v>133</v>
      </c>
      <c r="D121" s="51">
        <f>(D102*1000)/D11</f>
        <v>169.78428758992177</v>
      </c>
      <c r="E121" s="51">
        <f t="shared" ref="E121:Q121" si="15">(E102*1000)/E11</f>
        <v>144.05671687445422</v>
      </c>
      <c r="F121" s="51">
        <f t="shared" si="15"/>
        <v>189.63398558463552</v>
      </c>
      <c r="G121" s="51">
        <f t="shared" si="15"/>
        <v>173.91009787062691</v>
      </c>
      <c r="H121" s="51"/>
      <c r="I121" s="51"/>
      <c r="J121" s="51"/>
      <c r="K121" s="51"/>
      <c r="L121" s="51">
        <f t="shared" si="15"/>
        <v>142.27031682598897</v>
      </c>
      <c r="M121" s="51"/>
      <c r="N121" s="51"/>
      <c r="O121" s="51"/>
      <c r="P121" s="51"/>
      <c r="Q121" s="51">
        <f t="shared" si="15"/>
        <v>121.68541841484716</v>
      </c>
      <c r="R121" s="51"/>
      <c r="S121" s="51"/>
      <c r="T121" s="51"/>
    </row>
    <row r="122" spans="1:20" s="43" customFormat="1" ht="30" x14ac:dyDescent="0.25">
      <c r="A122" s="50"/>
      <c r="B122" s="19" t="s">
        <v>120</v>
      </c>
      <c r="C122" s="19" t="s">
        <v>133</v>
      </c>
      <c r="D122" s="51">
        <f>(D103*1000)/D5</f>
        <v>76.683720198924902</v>
      </c>
      <c r="E122" s="51">
        <f t="shared" ref="E122:Q122" si="16">(E103*1000)/E5</f>
        <v>73.939358894951681</v>
      </c>
      <c r="F122" s="51">
        <f t="shared" si="16"/>
        <v>60.257101271981085</v>
      </c>
      <c r="G122" s="51">
        <f t="shared" si="16"/>
        <v>48.775191892471014</v>
      </c>
      <c r="H122" s="51"/>
      <c r="I122" s="51"/>
      <c r="J122" s="51"/>
      <c r="K122" s="51"/>
      <c r="L122" s="51">
        <f t="shared" si="16"/>
        <v>35.851033881061404</v>
      </c>
      <c r="M122" s="51"/>
      <c r="N122" s="51"/>
      <c r="O122" s="51"/>
      <c r="P122" s="51"/>
      <c r="Q122" s="51">
        <f t="shared" si="16"/>
        <v>27.201167124073052</v>
      </c>
      <c r="R122" s="51"/>
      <c r="S122" s="51"/>
      <c r="T122" s="27" t="s">
        <v>20</v>
      </c>
    </row>
    <row r="123" spans="1:20" s="43" customFormat="1" x14ac:dyDescent="0.25">
      <c r="A123" s="50"/>
      <c r="B123" s="19" t="s">
        <v>121</v>
      </c>
      <c r="C123" s="19" t="s">
        <v>133</v>
      </c>
      <c r="D123" s="51">
        <f>(D104*1000)/D9</f>
        <v>69.313831649653736</v>
      </c>
      <c r="E123" s="51">
        <f t="shared" ref="E123:L123" si="17">(E104*1000)/E9</f>
        <v>61.54502404222157</v>
      </c>
      <c r="F123" s="51">
        <f t="shared" si="17"/>
        <v>41.068699967378485</v>
      </c>
      <c r="G123" s="51">
        <f t="shared" si="17"/>
        <v>28.626309412168368</v>
      </c>
      <c r="H123" s="51"/>
      <c r="I123" s="51"/>
      <c r="J123" s="51"/>
      <c r="K123" s="51"/>
      <c r="L123" s="51">
        <f t="shared" si="17"/>
        <v>22.851940050000533</v>
      </c>
      <c r="M123" s="51"/>
      <c r="N123" s="51"/>
      <c r="O123" s="51"/>
      <c r="P123" s="51"/>
      <c r="Q123" s="51">
        <f>(Q104*1000)/Q9</f>
        <v>18.526886269508054</v>
      </c>
      <c r="R123" s="51"/>
      <c r="S123" s="51"/>
      <c r="T123" s="51"/>
    </row>
    <row r="124" spans="1:20" x14ac:dyDescent="0.25">
      <c r="A124" s="50"/>
      <c r="B124" s="19" t="s">
        <v>124</v>
      </c>
      <c r="C124" s="19" t="s">
        <v>134</v>
      </c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</row>
    <row r="125" spans="1:20" x14ac:dyDescent="0.25">
      <c r="A125" s="50"/>
      <c r="B125" s="19" t="s">
        <v>125</v>
      </c>
      <c r="C125" s="19" t="s">
        <v>135</v>
      </c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</row>
    <row r="126" spans="1:20" ht="15.75" x14ac:dyDescent="0.25">
      <c r="A126" s="86" t="s">
        <v>136</v>
      </c>
      <c r="B126" s="86"/>
      <c r="C126" s="53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</row>
    <row r="127" spans="1:20" ht="23.25" x14ac:dyDescent="0.25">
      <c r="A127" s="15">
        <v>1</v>
      </c>
      <c r="B127" s="10" t="s">
        <v>137</v>
      </c>
      <c r="C127" s="10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</row>
    <row r="128" spans="1:20" x14ac:dyDescent="0.25">
      <c r="A128" s="50"/>
      <c r="B128" s="19" t="s">
        <v>120</v>
      </c>
      <c r="C128" s="19" t="s">
        <v>138</v>
      </c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</row>
    <row r="129" spans="1:20" x14ac:dyDescent="0.25">
      <c r="A129" s="50"/>
      <c r="B129" s="19" t="s">
        <v>119</v>
      </c>
      <c r="C129" s="19" t="s">
        <v>138</v>
      </c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</row>
    <row r="130" spans="1:20" x14ac:dyDescent="0.25">
      <c r="A130" s="50"/>
      <c r="B130" s="19" t="s">
        <v>121</v>
      </c>
      <c r="C130" s="19" t="s">
        <v>138</v>
      </c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</row>
    <row r="131" spans="1:20" ht="23.25" x14ac:dyDescent="0.25">
      <c r="A131" s="15">
        <v>2</v>
      </c>
      <c r="B131" s="10" t="s">
        <v>139</v>
      </c>
      <c r="C131" s="10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</row>
    <row r="132" spans="1:20" x14ac:dyDescent="0.25">
      <c r="A132" s="50"/>
      <c r="B132" s="6" t="s">
        <v>140</v>
      </c>
      <c r="C132" s="5" t="s">
        <v>141</v>
      </c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</row>
    <row r="133" spans="1:20" x14ac:dyDescent="0.25">
      <c r="A133" s="50"/>
      <c r="B133" s="25" t="s">
        <v>142</v>
      </c>
      <c r="C133" s="26" t="s">
        <v>141</v>
      </c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</row>
    <row r="134" spans="1:20" x14ac:dyDescent="0.25">
      <c r="A134" s="50"/>
      <c r="B134" s="25" t="s">
        <v>143</v>
      </c>
      <c r="C134" s="26" t="s">
        <v>141</v>
      </c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</row>
    <row r="135" spans="1:20" x14ac:dyDescent="0.25">
      <c r="A135" s="50"/>
      <c r="B135" s="25" t="s">
        <v>144</v>
      </c>
      <c r="C135" s="26" t="s">
        <v>141</v>
      </c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</row>
    <row r="136" spans="1:20" x14ac:dyDescent="0.25">
      <c r="A136" s="50"/>
      <c r="B136" s="25" t="s">
        <v>145</v>
      </c>
      <c r="C136" s="26" t="s">
        <v>141</v>
      </c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</row>
    <row r="137" spans="1:20" x14ac:dyDescent="0.25">
      <c r="A137" s="50"/>
      <c r="B137" s="6" t="s">
        <v>146</v>
      </c>
      <c r="C137" s="5" t="s">
        <v>141</v>
      </c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</row>
    <row r="138" spans="1:20" x14ac:dyDescent="0.25">
      <c r="A138" s="50"/>
      <c r="B138" s="25" t="s">
        <v>144</v>
      </c>
      <c r="C138" s="26" t="s">
        <v>141</v>
      </c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</row>
    <row r="139" spans="1:20" x14ac:dyDescent="0.25">
      <c r="A139" s="50"/>
      <c r="B139" s="25" t="s">
        <v>145</v>
      </c>
      <c r="C139" s="26" t="s">
        <v>141</v>
      </c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</row>
    <row r="140" spans="1:20" x14ac:dyDescent="0.25">
      <c r="A140" s="50"/>
      <c r="B140" s="6" t="s">
        <v>78</v>
      </c>
      <c r="C140" s="5" t="s">
        <v>141</v>
      </c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</row>
    <row r="141" spans="1:20" x14ac:dyDescent="0.25">
      <c r="A141" s="50"/>
      <c r="B141" s="25" t="s">
        <v>45</v>
      </c>
      <c r="C141" s="26" t="s">
        <v>141</v>
      </c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</row>
    <row r="142" spans="1:20" x14ac:dyDescent="0.25">
      <c r="A142" s="50"/>
      <c r="B142" s="25" t="s">
        <v>143</v>
      </c>
      <c r="C142" s="26" t="s">
        <v>141</v>
      </c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</row>
    <row r="143" spans="1:20" ht="15.75" x14ac:dyDescent="0.25">
      <c r="A143" s="86" t="s">
        <v>147</v>
      </c>
      <c r="B143" s="86"/>
      <c r="C143" s="53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</row>
    <row r="144" spans="1:20" ht="23.25" x14ac:dyDescent="0.25">
      <c r="A144" s="50"/>
      <c r="B144" s="25" t="s">
        <v>148</v>
      </c>
      <c r="C144" s="25" t="s">
        <v>149</v>
      </c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</row>
    <row r="145" spans="1:20" ht="23.25" x14ac:dyDescent="0.25">
      <c r="A145" s="50"/>
      <c r="B145" s="25" t="s">
        <v>150</v>
      </c>
      <c r="C145" s="25" t="s">
        <v>151</v>
      </c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</row>
    <row r="146" spans="1:20" ht="15.75" x14ac:dyDescent="0.25">
      <c r="A146" s="86" t="s">
        <v>152</v>
      </c>
      <c r="B146" s="86"/>
      <c r="C146" s="53"/>
      <c r="D146" s="3">
        <v>2005</v>
      </c>
      <c r="E146" s="3">
        <v>2010</v>
      </c>
      <c r="F146" s="3">
        <v>2015</v>
      </c>
      <c r="G146" s="3">
        <v>2020</v>
      </c>
      <c r="H146" s="3">
        <v>2021</v>
      </c>
      <c r="I146" s="3">
        <v>2022</v>
      </c>
      <c r="J146" s="3">
        <v>2023</v>
      </c>
      <c r="K146" s="3">
        <v>2024</v>
      </c>
      <c r="L146" s="3">
        <v>2025</v>
      </c>
      <c r="M146" s="3">
        <v>2026</v>
      </c>
      <c r="N146" s="3">
        <v>2027</v>
      </c>
      <c r="O146" s="3">
        <v>2028</v>
      </c>
      <c r="P146" s="3">
        <v>2029</v>
      </c>
      <c r="Q146" s="3">
        <v>2030</v>
      </c>
      <c r="R146" s="49"/>
      <c r="S146" s="49"/>
      <c r="T146" s="49"/>
    </row>
    <row r="147" spans="1:20" ht="60" x14ac:dyDescent="0.25">
      <c r="A147" s="61">
        <v>1</v>
      </c>
      <c r="B147" s="62" t="s">
        <v>153</v>
      </c>
      <c r="C147" s="62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</row>
    <row r="148" spans="1:20" x14ac:dyDescent="0.25">
      <c r="A148" s="50"/>
      <c r="B148" s="13" t="s">
        <v>154</v>
      </c>
      <c r="C148" s="13" t="s">
        <v>11</v>
      </c>
      <c r="D148" s="60">
        <v>4.36E-2</v>
      </c>
      <c r="E148" s="60">
        <v>0.12740000000000001</v>
      </c>
      <c r="F148" s="60">
        <v>0.14419999999999999</v>
      </c>
      <c r="G148" s="60">
        <v>0.15709999999999999</v>
      </c>
      <c r="H148" s="60">
        <v>0.16176400958072892</v>
      </c>
      <c r="I148" s="60">
        <v>0.16720009480958806</v>
      </c>
      <c r="J148" s="60">
        <v>0.17225690143804748</v>
      </c>
      <c r="K148" s="60">
        <v>0.17740930909222993</v>
      </c>
      <c r="L148" s="60">
        <v>0.18329999999999999</v>
      </c>
      <c r="M148" s="60">
        <v>0.18575355607726834</v>
      </c>
      <c r="N148" s="60">
        <v>0.18892647494135245</v>
      </c>
      <c r="O148" s="60">
        <v>0.19205101535676333</v>
      </c>
      <c r="P148" s="60">
        <v>0.19590530605642326</v>
      </c>
      <c r="Q148" s="60">
        <v>0.2</v>
      </c>
      <c r="R148" s="49"/>
      <c r="S148" s="49"/>
      <c r="T148" s="49"/>
    </row>
    <row r="149" spans="1:20" x14ac:dyDescent="0.25">
      <c r="A149" s="50"/>
      <c r="B149" s="19" t="s">
        <v>155</v>
      </c>
      <c r="C149" s="17" t="s">
        <v>11</v>
      </c>
      <c r="D149" s="60">
        <v>9.9400000000000002E-2</v>
      </c>
      <c r="E149" s="60">
        <v>0.18079999999999999</v>
      </c>
      <c r="F149" s="60">
        <v>0.21149999999999999</v>
      </c>
      <c r="G149" s="60">
        <v>0.20687638791262905</v>
      </c>
      <c r="H149" s="60">
        <v>0.21229124825866527</v>
      </c>
      <c r="I149" s="60">
        <v>0.21779822474682378</v>
      </c>
      <c r="J149" s="60">
        <v>0.22339968812477004</v>
      </c>
      <c r="K149" s="60">
        <v>0.22909809119713861</v>
      </c>
      <c r="L149" s="60">
        <v>0.23489597240674509</v>
      </c>
      <c r="M149" s="60">
        <v>0.24142465395609897</v>
      </c>
      <c r="N149" s="60">
        <v>0.24805237511877268</v>
      </c>
      <c r="O149" s="60">
        <v>0.2547814067544999</v>
      </c>
      <c r="P149" s="60">
        <v>0.26161408968183075</v>
      </c>
      <c r="Q149" s="60">
        <v>0.26855283739308544</v>
      </c>
      <c r="R149" s="49"/>
      <c r="S149" s="49"/>
      <c r="T149" s="49"/>
    </row>
    <row r="150" spans="1:20" x14ac:dyDescent="0.25">
      <c r="A150" s="50"/>
      <c r="B150" s="19" t="s">
        <v>156</v>
      </c>
      <c r="C150" s="17" t="s">
        <v>11</v>
      </c>
      <c r="D150" s="60">
        <v>4.4200000000000003E-2</v>
      </c>
      <c r="E150" s="60">
        <v>7.0999999999999994E-2</v>
      </c>
      <c r="F150" s="60">
        <v>7.2999999999999995E-2</v>
      </c>
      <c r="G150" s="60">
        <v>0.11025978892957139</v>
      </c>
      <c r="H150" s="60">
        <v>0.12208051089161565</v>
      </c>
      <c r="I150" s="60">
        <v>0.13599814666142837</v>
      </c>
      <c r="J150" s="60">
        <v>0.14984850945859177</v>
      </c>
      <c r="K150" s="60">
        <v>0.16366938194873701</v>
      </c>
      <c r="L150" s="60">
        <v>0.17721561518517739</v>
      </c>
      <c r="M150" s="60">
        <v>0.17936318412088573</v>
      </c>
      <c r="N150" s="60">
        <v>0.18174809362963928</v>
      </c>
      <c r="O150" s="60">
        <v>0.18369503685859409</v>
      </c>
      <c r="P150" s="60">
        <v>0.18907392986861749</v>
      </c>
      <c r="Q150" s="60">
        <v>0.19132750648691885</v>
      </c>
      <c r="R150" s="49"/>
      <c r="S150" s="49"/>
      <c r="T150" s="49"/>
    </row>
    <row r="151" spans="1:20" ht="45" x14ac:dyDescent="0.25">
      <c r="A151" s="50"/>
      <c r="B151" s="19" t="s">
        <v>157</v>
      </c>
      <c r="C151" s="17" t="s">
        <v>11</v>
      </c>
      <c r="D151" s="63">
        <v>9.1000000000000004E-3</v>
      </c>
      <c r="E151" s="63">
        <v>6.0199999999999997E-2</v>
      </c>
      <c r="F151" s="63">
        <v>6.9900000000000004E-2</v>
      </c>
      <c r="G151" s="63">
        <v>0.11461094982710734</v>
      </c>
      <c r="H151" s="63">
        <v>0.11476707348433458</v>
      </c>
      <c r="I151" s="63">
        <v>0.11856166445000044</v>
      </c>
      <c r="J151" s="63">
        <v>0.12167162952641163</v>
      </c>
      <c r="K151" s="63">
        <v>0.12497800545472018</v>
      </c>
      <c r="L151" s="63">
        <v>0.12829556309852128</v>
      </c>
      <c r="M151" s="63">
        <v>0.13158581998673666</v>
      </c>
      <c r="N151" s="63">
        <v>0.13615267321837612</v>
      </c>
      <c r="O151" s="63">
        <v>0.14085964429563222</v>
      </c>
      <c r="P151" s="63">
        <v>0.14555646117507604</v>
      </c>
      <c r="Q151" s="63">
        <v>0.15022931881977539</v>
      </c>
      <c r="R151" s="49"/>
      <c r="S151" s="49"/>
      <c r="T151" s="27" t="s">
        <v>18</v>
      </c>
    </row>
    <row r="152" spans="1:20" ht="24.75" customHeight="1" x14ac:dyDescent="0.25">
      <c r="A152" s="50"/>
      <c r="B152" s="19" t="s">
        <v>158</v>
      </c>
      <c r="C152" s="17" t="s">
        <v>11</v>
      </c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</row>
    <row r="153" spans="1:20" ht="23.25" x14ac:dyDescent="0.25">
      <c r="A153" s="50"/>
      <c r="B153" s="19" t="s">
        <v>159</v>
      </c>
      <c r="C153" s="17" t="s">
        <v>11</v>
      </c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60"/>
      <c r="S153" s="49"/>
      <c r="T153" s="49"/>
    </row>
    <row r="154" spans="1:20" ht="23.25" x14ac:dyDescent="0.25">
      <c r="A154" s="50"/>
      <c r="B154" s="19" t="s">
        <v>160</v>
      </c>
      <c r="C154" s="17" t="s">
        <v>11</v>
      </c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</row>
    <row r="155" spans="1:20" ht="34.5" x14ac:dyDescent="0.25">
      <c r="A155" s="50"/>
      <c r="B155" s="19" t="s">
        <v>161</v>
      </c>
      <c r="C155" s="17" t="s">
        <v>11</v>
      </c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</row>
    <row r="156" spans="1:20" x14ac:dyDescent="0.25">
      <c r="A156" s="50"/>
      <c r="B156" s="19" t="s">
        <v>162</v>
      </c>
      <c r="C156" s="17" t="s">
        <v>11</v>
      </c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</row>
    <row r="157" spans="1:20" ht="23.25" x14ac:dyDescent="0.25">
      <c r="A157" s="50"/>
      <c r="B157" s="19" t="s">
        <v>163</v>
      </c>
      <c r="C157" s="19" t="s">
        <v>10</v>
      </c>
      <c r="D157" s="49">
        <v>1180.7</v>
      </c>
      <c r="E157" s="49">
        <v>1877.6</v>
      </c>
      <c r="F157" s="49">
        <v>2168.1</v>
      </c>
      <c r="G157" s="49">
        <v>2146.0034993995528</v>
      </c>
      <c r="H157" s="49">
        <v>2183.7557318981676</v>
      </c>
      <c r="I157" s="49">
        <v>2221.5079643967824</v>
      </c>
      <c r="J157" s="49">
        <v>2259.2601968953977</v>
      </c>
      <c r="K157" s="49">
        <v>2297.0124293940125</v>
      </c>
      <c r="L157" s="49">
        <v>2338.5</v>
      </c>
      <c r="M157" s="49">
        <v>2381.7276187246543</v>
      </c>
      <c r="N157" s="49">
        <v>2428.6905755566809</v>
      </c>
      <c r="O157" s="49">
        <v>2475.6535323887074</v>
      </c>
      <c r="P157" s="49">
        <v>2522.6164892207339</v>
      </c>
      <c r="Q157" s="49">
        <v>2569.57944605276</v>
      </c>
      <c r="R157" s="49"/>
      <c r="S157" s="49"/>
      <c r="T157" s="49"/>
    </row>
    <row r="158" spans="1:20" x14ac:dyDescent="0.25">
      <c r="A158" s="50"/>
      <c r="B158" s="19" t="s">
        <v>164</v>
      </c>
      <c r="C158" s="19" t="s">
        <v>10</v>
      </c>
      <c r="D158" s="49">
        <v>146</v>
      </c>
      <c r="E158" s="49">
        <v>243.8</v>
      </c>
      <c r="F158" s="49">
        <v>250.9</v>
      </c>
      <c r="G158" s="49">
        <v>405.33350530237885</v>
      </c>
      <c r="H158" s="49">
        <v>449.84806725900444</v>
      </c>
      <c r="I158" s="49">
        <v>503.02639151619388</v>
      </c>
      <c r="J158" s="49">
        <v>556.22496990541686</v>
      </c>
      <c r="K158" s="49">
        <v>609.59375943441285</v>
      </c>
      <c r="L158" s="49">
        <v>662.13121238177132</v>
      </c>
      <c r="M158" s="49">
        <v>675.62305531670972</v>
      </c>
      <c r="N158" s="49">
        <v>690.14873793828224</v>
      </c>
      <c r="O158" s="49">
        <v>702.86733161364282</v>
      </c>
      <c r="P158" s="49">
        <v>730.49457151046136</v>
      </c>
      <c r="Q158" s="49">
        <v>744.80620999331234</v>
      </c>
      <c r="R158" s="49"/>
      <c r="S158" s="49"/>
      <c r="T158" s="49"/>
    </row>
    <row r="159" spans="1:20" x14ac:dyDescent="0.25">
      <c r="A159" s="50"/>
      <c r="B159" s="19" t="s">
        <v>165</v>
      </c>
      <c r="C159" s="19" t="s">
        <v>10</v>
      </c>
      <c r="D159" s="49">
        <v>16.100000000000001</v>
      </c>
      <c r="E159" s="49">
        <v>190.2</v>
      </c>
      <c r="F159" s="49">
        <v>199.6</v>
      </c>
      <c r="G159" s="49">
        <v>444.67539170727048</v>
      </c>
      <c r="H159" s="49">
        <v>456.07555794401452</v>
      </c>
      <c r="I159" s="49">
        <v>463.14311693895104</v>
      </c>
      <c r="J159" s="49">
        <v>475.83603181427344</v>
      </c>
      <c r="K159" s="49">
        <v>487.48835244100508</v>
      </c>
      <c r="L159" s="49">
        <v>499.42256854877235</v>
      </c>
      <c r="M159" s="49">
        <v>519.69615601413966</v>
      </c>
      <c r="N159" s="49">
        <v>532.03636237699436</v>
      </c>
      <c r="O159" s="49">
        <v>544.02702254705275</v>
      </c>
      <c r="P159" s="49">
        <v>556.54589519442061</v>
      </c>
      <c r="Q159" s="49">
        <v>569.60301184675654</v>
      </c>
      <c r="R159" s="49"/>
      <c r="S159" s="49"/>
      <c r="T159" s="49"/>
    </row>
    <row r="160" spans="1:20" x14ac:dyDescent="0.25">
      <c r="A160" s="50"/>
      <c r="B160" s="19" t="s">
        <v>166</v>
      </c>
      <c r="C160" s="19" t="s">
        <v>10</v>
      </c>
      <c r="D160" s="49">
        <f>D157+D158+D159</f>
        <v>1342.8</v>
      </c>
      <c r="E160" s="49">
        <f t="shared" ref="E160:Q160" si="18">E157+E158+E159</f>
        <v>2311.6</v>
      </c>
      <c r="F160" s="49">
        <f t="shared" si="18"/>
        <v>2618.6</v>
      </c>
      <c r="G160" s="49">
        <f t="shared" si="18"/>
        <v>2996.0123964092022</v>
      </c>
      <c r="H160" s="49">
        <f t="shared" si="18"/>
        <v>3089.6793571011867</v>
      </c>
      <c r="I160" s="49">
        <f t="shared" si="18"/>
        <v>3187.6774728519276</v>
      </c>
      <c r="J160" s="49">
        <f t="shared" si="18"/>
        <v>3291.3211986150882</v>
      </c>
      <c r="K160" s="49">
        <f t="shared" si="18"/>
        <v>3394.0945412694305</v>
      </c>
      <c r="L160" s="49">
        <f t="shared" si="18"/>
        <v>3500.0537809305438</v>
      </c>
      <c r="M160" s="49">
        <f t="shared" si="18"/>
        <v>3577.046830055504</v>
      </c>
      <c r="N160" s="49">
        <f t="shared" si="18"/>
        <v>3650.8756758719574</v>
      </c>
      <c r="O160" s="49">
        <f t="shared" si="18"/>
        <v>3722.5478865494028</v>
      </c>
      <c r="P160" s="49">
        <f t="shared" si="18"/>
        <v>3809.6569559256159</v>
      </c>
      <c r="Q160" s="49">
        <f t="shared" si="18"/>
        <v>3883.9886678928287</v>
      </c>
      <c r="R160" s="49"/>
      <c r="S160" s="49"/>
      <c r="T160" s="49"/>
    </row>
    <row r="161" spans="1:20" x14ac:dyDescent="0.25">
      <c r="A161" s="50"/>
      <c r="B161" s="19" t="s">
        <v>167</v>
      </c>
      <c r="C161" s="17" t="s">
        <v>10</v>
      </c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</row>
    <row r="162" spans="1:20" ht="23.25" x14ac:dyDescent="0.25">
      <c r="A162" s="50"/>
      <c r="B162" s="17" t="s">
        <v>205</v>
      </c>
      <c r="C162" s="17" t="s">
        <v>11</v>
      </c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</row>
    <row r="163" spans="1:20" ht="23.25" x14ac:dyDescent="0.25">
      <c r="A163" s="50"/>
      <c r="B163" s="17" t="s">
        <v>168</v>
      </c>
      <c r="C163" s="17" t="s">
        <v>10</v>
      </c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</row>
    <row r="164" spans="1:20" ht="23.25" x14ac:dyDescent="0.25">
      <c r="A164" s="50"/>
      <c r="B164" s="17" t="s">
        <v>169</v>
      </c>
      <c r="C164" s="17" t="s">
        <v>11</v>
      </c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</row>
    <row r="165" spans="1:20" ht="30.75" customHeight="1" x14ac:dyDescent="0.25">
      <c r="A165" s="50"/>
      <c r="B165" s="17" t="s">
        <v>170</v>
      </c>
      <c r="C165" s="17" t="s">
        <v>10</v>
      </c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</row>
    <row r="166" spans="1:20" ht="32.25" customHeight="1" x14ac:dyDescent="0.25">
      <c r="A166" s="50"/>
      <c r="B166" s="17" t="s">
        <v>206</v>
      </c>
      <c r="C166" s="17" t="s">
        <v>11</v>
      </c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</row>
    <row r="167" spans="1:20" ht="117" customHeight="1" x14ac:dyDescent="0.25">
      <c r="A167" s="61">
        <v>2</v>
      </c>
      <c r="B167" s="64" t="s">
        <v>207</v>
      </c>
      <c r="C167" s="62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</row>
    <row r="168" spans="1:20" ht="92.25" x14ac:dyDescent="0.25">
      <c r="A168" s="61">
        <v>3</v>
      </c>
      <c r="B168" s="62" t="s">
        <v>208</v>
      </c>
      <c r="C168" s="62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</row>
    <row r="169" spans="1:20" ht="32.25" x14ac:dyDescent="0.25">
      <c r="A169" s="65"/>
      <c r="B169" s="66" t="s">
        <v>209</v>
      </c>
      <c r="C169" s="62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</row>
    <row r="170" spans="1:20" ht="15.75" x14ac:dyDescent="0.25">
      <c r="A170" s="89" t="s">
        <v>171</v>
      </c>
      <c r="B170" s="90"/>
      <c r="C170" s="91"/>
      <c r="D170" s="3">
        <v>2005</v>
      </c>
      <c r="E170" s="3">
        <v>2010</v>
      </c>
      <c r="F170" s="3">
        <v>2015</v>
      </c>
      <c r="G170" s="3">
        <v>2020</v>
      </c>
      <c r="H170" s="3">
        <v>2021</v>
      </c>
      <c r="I170" s="3">
        <v>2022</v>
      </c>
      <c r="J170" s="3">
        <v>2023</v>
      </c>
      <c r="K170" s="3">
        <v>2024</v>
      </c>
      <c r="L170" s="3">
        <v>2025</v>
      </c>
      <c r="M170" s="3">
        <v>2026</v>
      </c>
      <c r="N170" s="3">
        <v>2027</v>
      </c>
      <c r="O170" s="3">
        <v>2028</v>
      </c>
      <c r="P170" s="3">
        <v>2029</v>
      </c>
      <c r="Q170" s="3">
        <v>2030</v>
      </c>
      <c r="R170" s="49"/>
      <c r="S170" s="49"/>
      <c r="T170" s="49"/>
    </row>
    <row r="171" spans="1:20" ht="30" x14ac:dyDescent="0.25">
      <c r="A171" s="61">
        <v>1</v>
      </c>
      <c r="B171" s="62" t="s">
        <v>172</v>
      </c>
      <c r="C171" s="62" t="s">
        <v>12</v>
      </c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</row>
    <row r="172" spans="1:20" ht="23.25" x14ac:dyDescent="0.25">
      <c r="A172" s="67"/>
      <c r="B172" s="12" t="s">
        <v>173</v>
      </c>
      <c r="C172" s="19" t="s">
        <v>12</v>
      </c>
      <c r="D172" s="68"/>
      <c r="E172" s="68"/>
      <c r="F172" s="68"/>
      <c r="G172" s="68">
        <v>20501.504478031056</v>
      </c>
      <c r="H172" s="68"/>
      <c r="I172" s="68"/>
      <c r="J172" s="68"/>
      <c r="K172" s="68"/>
      <c r="L172" s="68">
        <v>18074.100089964566</v>
      </c>
      <c r="M172" s="68"/>
      <c r="N172" s="68"/>
      <c r="O172" s="68"/>
      <c r="P172" s="68"/>
      <c r="Q172" s="68">
        <v>14840.96153443438</v>
      </c>
      <c r="R172" s="69"/>
      <c r="S172" s="69"/>
      <c r="T172" s="69"/>
    </row>
    <row r="173" spans="1:20" ht="23.25" x14ac:dyDescent="0.25">
      <c r="A173" s="67"/>
      <c r="B173" s="12" t="s">
        <v>174</v>
      </c>
      <c r="C173" s="19" t="s">
        <v>12</v>
      </c>
      <c r="D173" s="68"/>
      <c r="E173" s="68"/>
      <c r="F173" s="68"/>
      <c r="G173" s="68">
        <v>43230.066454381646</v>
      </c>
      <c r="H173" s="68"/>
      <c r="I173" s="68"/>
      <c r="J173" s="68"/>
      <c r="K173" s="68"/>
      <c r="L173" s="68">
        <v>42338.222021720831</v>
      </c>
      <c r="M173" s="68"/>
      <c r="N173" s="68"/>
      <c r="O173" s="68"/>
      <c r="P173" s="68"/>
      <c r="Q173" s="68">
        <v>41435.593713495051</v>
      </c>
      <c r="R173" s="69"/>
      <c r="S173" s="69"/>
      <c r="T173" s="69"/>
    </row>
    <row r="174" spans="1:20" x14ac:dyDescent="0.25">
      <c r="A174" s="67"/>
      <c r="B174" s="12" t="s">
        <v>175</v>
      </c>
      <c r="C174" s="19" t="s">
        <v>12</v>
      </c>
      <c r="D174" s="68"/>
      <c r="E174" s="68"/>
      <c r="F174" s="68"/>
      <c r="G174" s="68">
        <v>-4238.7444866791093</v>
      </c>
      <c r="H174" s="68"/>
      <c r="I174" s="68"/>
      <c r="J174" s="68"/>
      <c r="K174" s="68"/>
      <c r="L174" s="68">
        <v>-4826.2097755645918</v>
      </c>
      <c r="M174" s="68"/>
      <c r="N174" s="68"/>
      <c r="O174" s="68"/>
      <c r="P174" s="68"/>
      <c r="Q174" s="68">
        <v>-3771.9467228309722</v>
      </c>
      <c r="R174" s="49"/>
      <c r="S174" s="49"/>
      <c r="T174" s="49"/>
    </row>
    <row r="175" spans="1:20" ht="60" x14ac:dyDescent="0.25">
      <c r="A175" s="61">
        <v>2</v>
      </c>
      <c r="B175" s="62" t="s">
        <v>176</v>
      </c>
      <c r="C175" s="62" t="s">
        <v>12</v>
      </c>
      <c r="D175" s="80" t="s">
        <v>212</v>
      </c>
      <c r="E175" s="81"/>
      <c r="F175" s="81"/>
      <c r="G175" s="81"/>
      <c r="H175" s="81"/>
      <c r="I175" s="81"/>
      <c r="J175" s="81"/>
      <c r="K175" s="81"/>
      <c r="L175" s="81"/>
      <c r="M175" s="81"/>
      <c r="N175" s="81"/>
      <c r="O175" s="81"/>
      <c r="P175" s="81"/>
      <c r="Q175" s="81"/>
      <c r="R175" s="81"/>
      <c r="S175" s="82"/>
      <c r="T175" s="70"/>
    </row>
    <row r="176" spans="1:20" s="48" customFormat="1" x14ac:dyDescent="0.25">
      <c r="A176" s="61">
        <v>3</v>
      </c>
      <c r="B176" s="62" t="s">
        <v>213</v>
      </c>
      <c r="C176" s="62" t="s">
        <v>177</v>
      </c>
      <c r="D176" s="71">
        <v>0.77</v>
      </c>
      <c r="E176" s="71">
        <v>0.68</v>
      </c>
      <c r="F176" s="71">
        <v>0.55000000000000004</v>
      </c>
      <c r="G176" s="71">
        <v>0.5</v>
      </c>
      <c r="H176" s="51"/>
      <c r="I176" s="51"/>
      <c r="J176" s="51"/>
      <c r="K176" s="51"/>
      <c r="L176" s="71">
        <v>0.38</v>
      </c>
      <c r="M176" s="51"/>
      <c r="N176" s="51"/>
      <c r="O176" s="51"/>
      <c r="P176" s="51"/>
      <c r="Q176" s="71">
        <v>0.3</v>
      </c>
      <c r="R176" s="51"/>
      <c r="S176" s="51"/>
      <c r="T176" s="51"/>
    </row>
    <row r="177" spans="1:20" x14ac:dyDescent="0.25">
      <c r="A177" s="61">
        <v>4</v>
      </c>
      <c r="B177" s="62" t="s">
        <v>178</v>
      </c>
      <c r="C177" s="62"/>
      <c r="D177" s="28"/>
      <c r="E177" s="28"/>
      <c r="F177" s="28"/>
      <c r="G177" s="28"/>
      <c r="H177" s="28"/>
      <c r="I177" s="28"/>
      <c r="J177" s="28"/>
      <c r="K177" s="28"/>
      <c r="L177" s="28"/>
      <c r="M177" s="49"/>
      <c r="N177" s="49"/>
      <c r="O177" s="49"/>
      <c r="P177" s="49"/>
      <c r="Q177" s="28"/>
      <c r="R177" s="28"/>
      <c r="S177" s="28"/>
      <c r="T177" s="28"/>
    </row>
    <row r="178" spans="1:20" ht="30" x14ac:dyDescent="0.25">
      <c r="A178" s="61" t="s">
        <v>0</v>
      </c>
      <c r="B178" s="62" t="s">
        <v>179</v>
      </c>
      <c r="C178" s="62" t="s">
        <v>13</v>
      </c>
      <c r="D178" s="29">
        <v>0.34</v>
      </c>
      <c r="E178" s="29">
        <v>0.31</v>
      </c>
      <c r="F178" s="29">
        <v>0.27</v>
      </c>
      <c r="G178" s="29">
        <v>0.25</v>
      </c>
      <c r="H178" s="29"/>
      <c r="I178" s="29"/>
      <c r="J178" s="29"/>
      <c r="K178" s="29"/>
      <c r="L178" s="29">
        <v>0.18</v>
      </c>
      <c r="M178" s="68"/>
      <c r="N178" s="68"/>
      <c r="O178" s="68"/>
      <c r="P178" s="68"/>
      <c r="Q178" s="29">
        <v>0.08</v>
      </c>
      <c r="R178" s="29"/>
      <c r="S178" s="29"/>
      <c r="T178" s="30"/>
    </row>
    <row r="179" spans="1:20" ht="30" x14ac:dyDescent="0.25">
      <c r="A179" s="61" t="s">
        <v>1</v>
      </c>
      <c r="B179" s="62" t="s">
        <v>180</v>
      </c>
      <c r="C179" s="62" t="s">
        <v>14</v>
      </c>
      <c r="D179" s="31">
        <v>1.86</v>
      </c>
      <c r="E179" s="31">
        <v>1.7</v>
      </c>
      <c r="F179" s="31">
        <v>1.65</v>
      </c>
      <c r="G179" s="31">
        <v>1.7</v>
      </c>
      <c r="H179" s="32"/>
      <c r="I179" s="32"/>
      <c r="J179" s="32"/>
      <c r="K179" s="32"/>
      <c r="L179" s="31">
        <v>1.67</v>
      </c>
      <c r="M179" s="68"/>
      <c r="N179" s="68"/>
      <c r="O179" s="68"/>
      <c r="P179" s="68"/>
      <c r="Q179" s="31">
        <v>1.63</v>
      </c>
      <c r="R179" s="32"/>
      <c r="S179" s="32"/>
      <c r="T179" s="28"/>
    </row>
    <row r="180" spans="1:20" x14ac:dyDescent="0.25">
      <c r="A180" s="65"/>
      <c r="B180" s="12" t="s">
        <v>119</v>
      </c>
      <c r="C180" s="19" t="s">
        <v>14</v>
      </c>
      <c r="D180" s="29">
        <v>1.36</v>
      </c>
      <c r="E180" s="29">
        <v>1.17</v>
      </c>
      <c r="F180" s="29">
        <v>0.99</v>
      </c>
      <c r="G180" s="29">
        <v>1.04</v>
      </c>
      <c r="H180" s="29"/>
      <c r="I180" s="29"/>
      <c r="J180" s="29"/>
      <c r="K180" s="29"/>
      <c r="L180" s="29">
        <v>1</v>
      </c>
      <c r="M180" s="68"/>
      <c r="N180" s="68"/>
      <c r="O180" s="68"/>
      <c r="P180" s="68"/>
      <c r="Q180" s="29">
        <v>0.95</v>
      </c>
      <c r="R180" s="29"/>
      <c r="S180" s="29"/>
      <c r="T180" s="33"/>
    </row>
    <row r="181" spans="1:20" x14ac:dyDescent="0.25">
      <c r="A181" s="65"/>
      <c r="B181" s="12" t="s">
        <v>120</v>
      </c>
      <c r="C181" s="19" t="s">
        <v>14</v>
      </c>
      <c r="D181" s="29">
        <v>1.66</v>
      </c>
      <c r="E181" s="29">
        <v>1.43</v>
      </c>
      <c r="F181" s="29">
        <v>1.27</v>
      </c>
      <c r="G181" s="29">
        <v>1.32</v>
      </c>
      <c r="H181" s="29"/>
      <c r="I181" s="29"/>
      <c r="J181" s="29"/>
      <c r="K181" s="29"/>
      <c r="L181" s="29">
        <v>1.23</v>
      </c>
      <c r="M181" s="68"/>
      <c r="N181" s="68"/>
      <c r="O181" s="68"/>
      <c r="P181" s="68"/>
      <c r="Q181" s="29">
        <v>1.08</v>
      </c>
      <c r="R181" s="29"/>
      <c r="S181" s="29"/>
      <c r="T181" s="33"/>
    </row>
    <row r="182" spans="1:20" x14ac:dyDescent="0.25">
      <c r="A182" s="65"/>
      <c r="B182" s="12" t="s">
        <v>121</v>
      </c>
      <c r="C182" s="19" t="s">
        <v>14</v>
      </c>
      <c r="D182" s="29">
        <v>1.51</v>
      </c>
      <c r="E182" s="29">
        <v>1.3</v>
      </c>
      <c r="F182" s="29">
        <v>1.51</v>
      </c>
      <c r="G182" s="29">
        <v>1.47</v>
      </c>
      <c r="H182" s="29"/>
      <c r="I182" s="29"/>
      <c r="J182" s="29"/>
      <c r="K182" s="29"/>
      <c r="L182" s="29">
        <v>1.45</v>
      </c>
      <c r="M182" s="68"/>
      <c r="N182" s="68"/>
      <c r="O182" s="68"/>
      <c r="P182" s="68"/>
      <c r="Q182" s="29">
        <v>1.43</v>
      </c>
      <c r="R182" s="29"/>
      <c r="S182" s="29"/>
      <c r="T182" s="33"/>
    </row>
    <row r="183" spans="1:20" x14ac:dyDescent="0.25">
      <c r="A183" s="65"/>
      <c r="B183" s="12" t="s">
        <v>124</v>
      </c>
      <c r="C183" s="19" t="s">
        <v>14</v>
      </c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33"/>
    </row>
    <row r="184" spans="1:20" x14ac:dyDescent="0.25">
      <c r="A184" s="65"/>
      <c r="B184" s="12" t="s">
        <v>125</v>
      </c>
      <c r="C184" s="19" t="s">
        <v>14</v>
      </c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33"/>
    </row>
    <row r="185" spans="1:20" x14ac:dyDescent="0.25">
      <c r="A185" s="15">
        <v>5</v>
      </c>
      <c r="B185" s="62" t="s">
        <v>181</v>
      </c>
      <c r="C185" s="62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</row>
    <row r="186" spans="1:20" x14ac:dyDescent="0.25">
      <c r="A186" s="61" t="s">
        <v>0</v>
      </c>
      <c r="B186" s="62" t="s">
        <v>182</v>
      </c>
      <c r="C186" s="62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</row>
    <row r="187" spans="1:20" x14ac:dyDescent="0.25">
      <c r="A187" s="67"/>
      <c r="B187" s="72" t="s">
        <v>183</v>
      </c>
      <c r="C187" s="73" t="s">
        <v>184</v>
      </c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</row>
    <row r="188" spans="1:20" x14ac:dyDescent="0.25">
      <c r="A188" s="67"/>
      <c r="B188" s="72" t="s">
        <v>185</v>
      </c>
      <c r="C188" s="73" t="s">
        <v>186</v>
      </c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</row>
    <row r="189" spans="1:20" x14ac:dyDescent="0.25">
      <c r="A189" s="67"/>
      <c r="B189" s="72" t="s">
        <v>187</v>
      </c>
      <c r="C189" s="73" t="s">
        <v>188</v>
      </c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</row>
    <row r="190" spans="1:20" x14ac:dyDescent="0.25">
      <c r="A190" s="67"/>
      <c r="B190" s="72" t="s">
        <v>189</v>
      </c>
      <c r="C190" s="73" t="s">
        <v>190</v>
      </c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</row>
    <row r="191" spans="1:20" x14ac:dyDescent="0.25">
      <c r="A191" s="67"/>
      <c r="B191" s="72" t="s">
        <v>191</v>
      </c>
      <c r="C191" s="73" t="s">
        <v>192</v>
      </c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</row>
    <row r="192" spans="1:20" x14ac:dyDescent="0.25">
      <c r="A192" s="61" t="s">
        <v>1</v>
      </c>
      <c r="B192" s="62" t="s">
        <v>193</v>
      </c>
      <c r="C192" s="62" t="s">
        <v>194</v>
      </c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</row>
    <row r="193" spans="1:20" x14ac:dyDescent="0.25">
      <c r="A193" s="61" t="s">
        <v>2</v>
      </c>
      <c r="B193" s="62" t="s">
        <v>195</v>
      </c>
      <c r="C193" s="62" t="s">
        <v>194</v>
      </c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</row>
    <row r="194" spans="1:20" x14ac:dyDescent="0.25">
      <c r="A194" s="61" t="s">
        <v>3</v>
      </c>
      <c r="B194" s="62" t="s">
        <v>196</v>
      </c>
      <c r="C194" s="62" t="s">
        <v>194</v>
      </c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</row>
    <row r="195" spans="1:20" ht="30" x14ac:dyDescent="0.25">
      <c r="A195" s="61" t="s">
        <v>4</v>
      </c>
      <c r="B195" s="74" t="s">
        <v>197</v>
      </c>
      <c r="C195" s="62" t="s">
        <v>194</v>
      </c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</row>
    <row r="196" spans="1:20" x14ac:dyDescent="0.25">
      <c r="A196" s="61" t="s">
        <v>5</v>
      </c>
      <c r="B196" s="62" t="s">
        <v>198</v>
      </c>
      <c r="C196" s="62" t="s">
        <v>199</v>
      </c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</row>
    <row r="197" spans="1:20" x14ac:dyDescent="0.25">
      <c r="A197" s="61" t="s">
        <v>6</v>
      </c>
      <c r="B197" s="62" t="s">
        <v>200</v>
      </c>
      <c r="C197" s="62" t="s">
        <v>16</v>
      </c>
      <c r="D197" s="37">
        <v>4646</v>
      </c>
      <c r="E197" s="37">
        <v>4033</v>
      </c>
      <c r="F197" s="37">
        <v>3712</v>
      </c>
      <c r="G197" s="37">
        <v>3700</v>
      </c>
      <c r="H197" s="37"/>
      <c r="I197" s="37"/>
      <c r="J197" s="37"/>
      <c r="K197" s="37"/>
      <c r="L197" s="37">
        <v>3660</v>
      </c>
      <c r="M197" s="37"/>
      <c r="N197" s="37"/>
      <c r="O197" s="37"/>
      <c r="P197" s="37"/>
      <c r="Q197" s="37">
        <v>3650</v>
      </c>
      <c r="R197" s="37"/>
      <c r="S197" s="37"/>
      <c r="T197" s="37"/>
    </row>
    <row r="198" spans="1:20" x14ac:dyDescent="0.25">
      <c r="A198" s="61" t="s">
        <v>7</v>
      </c>
      <c r="B198" s="62" t="s">
        <v>201</v>
      </c>
      <c r="C198" s="62" t="s">
        <v>16</v>
      </c>
      <c r="D198" s="38">
        <v>3859</v>
      </c>
      <c r="E198" s="38">
        <v>2838</v>
      </c>
      <c r="F198" s="38">
        <v>1991</v>
      </c>
      <c r="G198" s="38">
        <v>1480</v>
      </c>
      <c r="H198" s="38"/>
      <c r="I198" s="38"/>
      <c r="J198" s="38"/>
      <c r="K198" s="38"/>
      <c r="L198" s="38">
        <v>1350</v>
      </c>
      <c r="M198" s="38"/>
      <c r="N198" s="38"/>
      <c r="O198" s="38"/>
      <c r="P198" s="38"/>
      <c r="Q198" s="38">
        <v>1095</v>
      </c>
      <c r="R198" s="38"/>
      <c r="S198" s="38"/>
      <c r="T198" s="38"/>
    </row>
    <row r="199" spans="1:20" ht="30" x14ac:dyDescent="0.25">
      <c r="A199" s="61" t="s">
        <v>8</v>
      </c>
      <c r="B199" s="62" t="s">
        <v>202</v>
      </c>
      <c r="C199" s="62" t="s">
        <v>11</v>
      </c>
      <c r="D199" s="39"/>
      <c r="E199" s="39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</row>
    <row r="200" spans="1:20" x14ac:dyDescent="0.25">
      <c r="B200" s="40"/>
      <c r="C200" s="40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</row>
  </sheetData>
  <sheetProtection password="E313" sheet="1" objects="1" scenarios="1"/>
  <mergeCells count="14">
    <mergeCell ref="A1:S1"/>
    <mergeCell ref="A3:B3"/>
    <mergeCell ref="D175:S175"/>
    <mergeCell ref="T5:T11"/>
    <mergeCell ref="T15:T25"/>
    <mergeCell ref="A126:B126"/>
    <mergeCell ref="A143:B143"/>
    <mergeCell ref="A146:B146"/>
    <mergeCell ref="A36:B36"/>
    <mergeCell ref="A37:B37"/>
    <mergeCell ref="A63:B63"/>
    <mergeCell ref="A92:B92"/>
    <mergeCell ref="A98:B98"/>
    <mergeCell ref="A170:C17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WAM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CANTON Joan (ENER)</dc:creator>
  <cp:lastModifiedBy>Lezsák József</cp:lastModifiedBy>
  <cp:lastPrinted>2018-08-06T08:32:25Z</cp:lastPrinted>
  <dcterms:created xsi:type="dcterms:W3CDTF">2017-03-21T16:17:19Z</dcterms:created>
  <dcterms:modified xsi:type="dcterms:W3CDTF">2019-05-03T12:23:21Z</dcterms:modified>
</cp:coreProperties>
</file>